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xlsx" ContentType="application/vnd.openxmlformats-officedocument.spreadsheetml.sheet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T\Documents\Documents\INFORMACION PAGINA UT DIVISION CONTABLE Y FIANCIERA\"/>
    </mc:Choice>
  </mc:AlternateContent>
  <bookViews>
    <workbookView xWindow="0" yWindow="0" windowWidth="15300" windowHeight="9720"/>
  </bookViews>
  <sheets>
    <sheet name="ejecucion cierre 2017" sheetId="1" r:id="rId1"/>
    <sheet name="Hoja7" sheetId="8" r:id="rId2"/>
    <sheet name="Hoja6" sheetId="7" r:id="rId3"/>
    <sheet name="Hoja5" sheetId="5" r:id="rId4"/>
    <sheet name="Hoja1" sheetId="6" r:id="rId5"/>
    <sheet name="Hoja2" sheetId="2" r:id="rId6"/>
    <sheet name="Hoja3" sheetId="3" r:id="rId7"/>
    <sheet name="Hoja4" sheetId="4" r:id="rId8"/>
  </sheets>
  <externalReferences>
    <externalReference r:id="rId9"/>
  </externalReferences>
  <definedNames>
    <definedName name="_xlnm._FilterDatabase" localSheetId="0" hidden="1">'ejecucion cierre 2017'!$A$4:$R$376</definedName>
    <definedName name="_xlnm._FilterDatabase" localSheetId="4" hidden="1">Hoja1!$A$1:$L$103</definedName>
    <definedName name="_xlnm._FilterDatabase" localSheetId="5" hidden="1">Hoja2!$A$1:$L$81</definedName>
    <definedName name="_xlnm._FilterDatabase" localSheetId="3" hidden="1">Hoja5!$A$4:$C$284</definedName>
    <definedName name="_xlnm.Print_Area" localSheetId="0">'ejecucion cierre 2017'!$A$4:$R$390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51" i="1" l="1"/>
  <c r="R351" i="1" s="1"/>
  <c r="M193" i="1"/>
  <c r="G3" i="8" l="1"/>
  <c r="G4" i="8"/>
  <c r="G5" i="8"/>
  <c r="G6" i="8"/>
  <c r="G7" i="8"/>
  <c r="G8" i="8"/>
  <c r="G9" i="8"/>
  <c r="G10" i="8"/>
  <c r="G11" i="8"/>
  <c r="G12" i="8"/>
  <c r="G13" i="8"/>
  <c r="G14" i="8"/>
  <c r="G15" i="8"/>
  <c r="G16" i="8"/>
  <c r="G17" i="8"/>
  <c r="G18" i="8"/>
  <c r="G19" i="8"/>
  <c r="G20" i="8"/>
  <c r="G21" i="8"/>
  <c r="G22" i="8"/>
  <c r="G23" i="8"/>
  <c r="G24" i="8"/>
  <c r="G25" i="8"/>
  <c r="G26" i="8"/>
  <c r="G27" i="8"/>
  <c r="G28" i="8"/>
  <c r="G29" i="8"/>
  <c r="G30" i="8"/>
  <c r="G31" i="8"/>
  <c r="G32" i="8"/>
  <c r="G33" i="8"/>
  <c r="G34" i="8"/>
  <c r="G35" i="8"/>
  <c r="G36" i="8"/>
  <c r="G37" i="8"/>
  <c r="G38" i="8"/>
  <c r="G39" i="8"/>
  <c r="G40" i="8"/>
  <c r="G41" i="8"/>
  <c r="G42" i="8"/>
  <c r="G43" i="8"/>
  <c r="G44" i="8"/>
  <c r="G45" i="8"/>
  <c r="G46" i="8"/>
  <c r="G47" i="8"/>
  <c r="G48" i="8"/>
  <c r="G49" i="8"/>
  <c r="G50" i="8"/>
  <c r="G51" i="8"/>
  <c r="G52" i="8"/>
  <c r="G53" i="8"/>
  <c r="G54" i="8"/>
  <c r="G55" i="8"/>
  <c r="G56" i="8"/>
  <c r="G57" i="8"/>
  <c r="G58" i="8"/>
  <c r="G59" i="8"/>
  <c r="G60" i="8"/>
  <c r="G61" i="8"/>
  <c r="G62" i="8"/>
  <c r="G63" i="8"/>
  <c r="G64" i="8"/>
  <c r="G65" i="8"/>
  <c r="G66" i="8"/>
  <c r="G67" i="8"/>
  <c r="G68" i="8"/>
  <c r="G69" i="8"/>
  <c r="G70" i="8"/>
  <c r="G71" i="8"/>
  <c r="G72" i="8"/>
  <c r="G73" i="8"/>
  <c r="G74" i="8"/>
  <c r="G75" i="8"/>
  <c r="G76" i="8"/>
  <c r="G77" i="8"/>
  <c r="G78" i="8"/>
  <c r="G79" i="8"/>
  <c r="G80" i="8"/>
  <c r="G81" i="8"/>
  <c r="G82" i="8"/>
  <c r="G83" i="8"/>
  <c r="G84" i="8"/>
  <c r="G85" i="8"/>
  <c r="G86" i="8"/>
  <c r="G87" i="8"/>
  <c r="G88" i="8"/>
  <c r="G89" i="8"/>
  <c r="G90" i="8"/>
  <c r="G91" i="8"/>
  <c r="G92" i="8"/>
  <c r="G93" i="8"/>
  <c r="G94" i="8"/>
  <c r="G95" i="8"/>
  <c r="G96" i="8"/>
  <c r="G97" i="8"/>
  <c r="G98" i="8"/>
  <c r="G99" i="8"/>
  <c r="G100" i="8"/>
  <c r="G101" i="8"/>
  <c r="G102" i="8"/>
  <c r="G103" i="8"/>
  <c r="G104" i="8"/>
  <c r="G105" i="8"/>
  <c r="G106" i="8"/>
  <c r="G107" i="8"/>
  <c r="G108" i="8"/>
  <c r="G109" i="8"/>
  <c r="G110" i="8"/>
  <c r="G111" i="8"/>
  <c r="G112" i="8"/>
  <c r="G113" i="8"/>
  <c r="G114" i="8"/>
  <c r="G115" i="8"/>
  <c r="G116" i="8"/>
  <c r="G117" i="8"/>
  <c r="G118" i="8"/>
  <c r="G119" i="8"/>
  <c r="G120" i="8"/>
  <c r="G121" i="8"/>
  <c r="G122" i="8"/>
  <c r="G123" i="8"/>
  <c r="G124" i="8"/>
  <c r="G125" i="8"/>
  <c r="G126" i="8"/>
  <c r="G127" i="8"/>
  <c r="G128" i="8"/>
  <c r="G129" i="8"/>
  <c r="G130" i="8"/>
  <c r="G131" i="8"/>
  <c r="G132" i="8"/>
  <c r="G133" i="8"/>
  <c r="G134" i="8"/>
  <c r="G135" i="8"/>
  <c r="G136" i="8"/>
  <c r="G137" i="8"/>
  <c r="G138" i="8"/>
  <c r="G139" i="8"/>
  <c r="G140" i="8"/>
  <c r="G141" i="8"/>
  <c r="G142" i="8"/>
  <c r="G143" i="8"/>
  <c r="G144" i="8"/>
  <c r="G145" i="8"/>
  <c r="G146" i="8"/>
  <c r="G147" i="8"/>
  <c r="G148" i="8"/>
  <c r="G149" i="8"/>
  <c r="G150" i="8"/>
  <c r="G151" i="8"/>
  <c r="G152" i="8"/>
  <c r="G153" i="8"/>
  <c r="G154" i="8"/>
  <c r="G155" i="8"/>
  <c r="G156" i="8"/>
  <c r="G157" i="8"/>
  <c r="G158" i="8"/>
  <c r="G159" i="8"/>
  <c r="G160" i="8"/>
  <c r="G161" i="8"/>
  <c r="G162" i="8"/>
  <c r="G163" i="8"/>
  <c r="G164" i="8"/>
  <c r="G165" i="8"/>
  <c r="G166" i="8"/>
  <c r="G167" i="8"/>
  <c r="G168" i="8"/>
  <c r="G169" i="8"/>
  <c r="G170" i="8"/>
  <c r="G171" i="8"/>
  <c r="G172" i="8"/>
  <c r="G173" i="8"/>
  <c r="G174" i="8"/>
  <c r="G175" i="8"/>
  <c r="G176" i="8"/>
  <c r="G177" i="8"/>
  <c r="G178" i="8"/>
  <c r="G179" i="8"/>
  <c r="G180" i="8"/>
  <c r="G181" i="8"/>
  <c r="G182" i="8"/>
  <c r="G183" i="8"/>
  <c r="G184" i="8"/>
  <c r="G185" i="8"/>
  <c r="G186" i="8"/>
  <c r="G187" i="8"/>
  <c r="G188" i="8"/>
  <c r="G189" i="8"/>
  <c r="G190" i="8"/>
  <c r="G191" i="8"/>
  <c r="G192" i="8"/>
  <c r="G193" i="8"/>
  <c r="G194" i="8"/>
  <c r="G195" i="8"/>
  <c r="G196" i="8"/>
  <c r="G197" i="8"/>
  <c r="G198" i="8"/>
  <c r="G199" i="8"/>
  <c r="G200" i="8"/>
  <c r="G201" i="8"/>
  <c r="G202" i="8"/>
  <c r="G203" i="8"/>
  <c r="G204" i="8"/>
  <c r="G205" i="8"/>
  <c r="G206" i="8"/>
  <c r="G207" i="8"/>
  <c r="G208" i="8"/>
  <c r="G209" i="8"/>
  <c r="G210" i="8"/>
  <c r="G211" i="8"/>
  <c r="G212" i="8"/>
  <c r="G213" i="8"/>
  <c r="G214" i="8"/>
  <c r="G215" i="8"/>
  <c r="G216" i="8"/>
  <c r="G217" i="8"/>
  <c r="G218" i="8"/>
  <c r="G219" i="8"/>
  <c r="G220" i="8"/>
  <c r="G221" i="8"/>
  <c r="G222" i="8"/>
  <c r="G223" i="8"/>
  <c r="G224" i="8"/>
  <c r="G225" i="8"/>
  <c r="G226" i="8"/>
  <c r="G227" i="8"/>
  <c r="G228" i="8"/>
  <c r="G229" i="8"/>
  <c r="G230" i="8"/>
  <c r="G231" i="8"/>
  <c r="G232" i="8"/>
  <c r="G233" i="8"/>
  <c r="G234" i="8"/>
  <c r="G235" i="8"/>
  <c r="G236" i="8"/>
  <c r="G237" i="8"/>
  <c r="G238" i="8"/>
  <c r="G239" i="8"/>
  <c r="G240" i="8"/>
  <c r="G241" i="8"/>
  <c r="G242" i="8"/>
  <c r="G243" i="8"/>
  <c r="G244" i="8"/>
  <c r="G245" i="8"/>
  <c r="G246" i="8"/>
  <c r="G247" i="8"/>
  <c r="G248" i="8"/>
  <c r="G249" i="8"/>
  <c r="G250" i="8"/>
  <c r="G251" i="8"/>
  <c r="G252" i="8"/>
  <c r="G253" i="8"/>
  <c r="G254" i="8"/>
  <c r="G255" i="8"/>
  <c r="G256" i="8"/>
  <c r="G257" i="8"/>
  <c r="G258" i="8"/>
  <c r="G259" i="8"/>
  <c r="G260" i="8"/>
  <c r="G261" i="8"/>
  <c r="G262" i="8"/>
  <c r="G263" i="8"/>
  <c r="G264" i="8"/>
  <c r="G265" i="8"/>
  <c r="G266" i="8"/>
  <c r="G267" i="8"/>
  <c r="G268" i="8"/>
  <c r="G269" i="8"/>
  <c r="G270" i="8"/>
  <c r="G271" i="8"/>
  <c r="G272" i="8"/>
  <c r="G273" i="8"/>
  <c r="G274" i="8"/>
  <c r="G275" i="8"/>
  <c r="G276" i="8"/>
  <c r="G277" i="8"/>
  <c r="G278" i="8"/>
  <c r="G279" i="8"/>
  <c r="G280" i="8"/>
  <c r="G281" i="8"/>
  <c r="G282" i="8"/>
  <c r="G283" i="8"/>
  <c r="G284" i="8"/>
  <c r="G285" i="8"/>
  <c r="G286" i="8"/>
  <c r="G287" i="8"/>
  <c r="G288" i="8"/>
  <c r="G289" i="8"/>
  <c r="G290" i="8"/>
  <c r="G291" i="8"/>
  <c r="G292" i="8"/>
  <c r="G293" i="8"/>
  <c r="G294" i="8"/>
  <c r="G295" i="8"/>
  <c r="G296" i="8"/>
  <c r="G297" i="8"/>
  <c r="G298" i="8"/>
  <c r="G299" i="8"/>
  <c r="G300" i="8"/>
  <c r="G301" i="8"/>
  <c r="G302" i="8"/>
  <c r="G303" i="8"/>
  <c r="G304" i="8"/>
  <c r="G305" i="8"/>
  <c r="G306" i="8"/>
  <c r="G307" i="8"/>
  <c r="G308" i="8"/>
  <c r="G309" i="8"/>
  <c r="G310" i="8"/>
  <c r="G311" i="8"/>
  <c r="G312" i="8"/>
  <c r="G313" i="8"/>
  <c r="G314" i="8"/>
  <c r="G315" i="8"/>
  <c r="G316" i="8"/>
  <c r="G317" i="8"/>
  <c r="G318" i="8"/>
  <c r="G319" i="8"/>
  <c r="G320" i="8"/>
  <c r="G321" i="8"/>
  <c r="G322" i="8"/>
  <c r="G323" i="8"/>
  <c r="G324" i="8"/>
  <c r="G325" i="8"/>
  <c r="G326" i="8"/>
  <c r="G327" i="8"/>
  <c r="G328" i="8"/>
  <c r="G329" i="8"/>
  <c r="G330" i="8"/>
  <c r="G331" i="8"/>
  <c r="G332" i="8"/>
  <c r="G333" i="8"/>
  <c r="G334" i="8"/>
  <c r="G335" i="8"/>
  <c r="G336" i="8"/>
  <c r="G337" i="8"/>
  <c r="G338" i="8"/>
  <c r="G339" i="8"/>
  <c r="G340" i="8"/>
  <c r="G341" i="8"/>
  <c r="G342" i="8"/>
  <c r="G343" i="8"/>
  <c r="G344" i="8"/>
  <c r="G345" i="8"/>
  <c r="G346" i="8"/>
  <c r="G347" i="8"/>
  <c r="G348" i="8"/>
  <c r="G349" i="8"/>
  <c r="G350" i="8"/>
  <c r="G351" i="8"/>
  <c r="G352" i="8"/>
  <c r="G353" i="8"/>
  <c r="G354" i="8"/>
  <c r="G355" i="8"/>
  <c r="G356" i="8"/>
  <c r="G357" i="8"/>
  <c r="G358" i="8"/>
  <c r="G359" i="8"/>
  <c r="G360" i="8"/>
  <c r="G361" i="8"/>
  <c r="G362" i="8"/>
  <c r="G363" i="8"/>
  <c r="G364" i="8"/>
  <c r="G365" i="8"/>
  <c r="G366" i="8"/>
  <c r="G367" i="8"/>
  <c r="G368" i="8"/>
  <c r="G369" i="8"/>
  <c r="G2" i="8"/>
  <c r="C2" i="7" l="1"/>
  <c r="C3" i="7"/>
  <c r="C4" i="7"/>
  <c r="C5" i="7"/>
  <c r="C6" i="7"/>
  <c r="C7" i="7"/>
  <c r="C8" i="7"/>
  <c r="C9" i="7"/>
  <c r="C10" i="7"/>
  <c r="C11" i="7"/>
  <c r="C12" i="7"/>
  <c r="C13" i="7"/>
  <c r="C14" i="7"/>
  <c r="C15" i="7"/>
  <c r="C16" i="7"/>
  <c r="C17" i="7"/>
  <c r="C18" i="7"/>
  <c r="C19" i="7"/>
  <c r="C20" i="7"/>
  <c r="C21" i="7"/>
  <c r="C22" i="7"/>
  <c r="C23" i="7"/>
  <c r="C24" i="7"/>
  <c r="C25" i="7"/>
  <c r="C1" i="7"/>
  <c r="J372" i="1" l="1"/>
  <c r="L372" i="1" s="1"/>
  <c r="J371" i="1"/>
  <c r="L371" i="1" s="1"/>
  <c r="J370" i="1"/>
  <c r="L370" i="1" s="1"/>
  <c r="J369" i="1"/>
  <c r="L369" i="1" s="1"/>
  <c r="C368" i="1"/>
  <c r="C367" i="1" s="1"/>
  <c r="J366" i="1"/>
  <c r="L366" i="1" s="1"/>
  <c r="J365" i="1"/>
  <c r="L365" i="1" s="1"/>
  <c r="J364" i="1"/>
  <c r="L364" i="1" s="1"/>
  <c r="J363" i="1"/>
  <c r="L363" i="1" s="1"/>
  <c r="J362" i="1"/>
  <c r="L362" i="1" s="1"/>
  <c r="J361" i="1"/>
  <c r="L361" i="1" s="1"/>
  <c r="J360" i="1"/>
  <c r="L360" i="1" s="1"/>
  <c r="J359" i="1"/>
  <c r="L359" i="1" s="1"/>
  <c r="J358" i="1"/>
  <c r="L358" i="1" s="1"/>
  <c r="J357" i="1"/>
  <c r="L357" i="1" s="1"/>
  <c r="J356" i="1"/>
  <c r="L356" i="1" s="1"/>
  <c r="J355" i="1"/>
  <c r="L355" i="1" s="1"/>
  <c r="J354" i="1"/>
  <c r="L354" i="1" s="1"/>
  <c r="J353" i="1"/>
  <c r="L353" i="1" s="1"/>
  <c r="J352" i="1"/>
  <c r="L352" i="1" s="1"/>
  <c r="J351" i="1"/>
  <c r="L351" i="1" s="1"/>
  <c r="J350" i="1"/>
  <c r="L350" i="1" s="1"/>
  <c r="J349" i="1"/>
  <c r="L349" i="1" s="1"/>
  <c r="J348" i="1"/>
  <c r="L348" i="1" s="1"/>
  <c r="J347" i="1"/>
  <c r="L347" i="1" s="1"/>
  <c r="J346" i="1"/>
  <c r="L346" i="1" s="1"/>
  <c r="C345" i="1"/>
  <c r="J344" i="1"/>
  <c r="L344" i="1" s="1"/>
  <c r="J343" i="1"/>
  <c r="L343" i="1" s="1"/>
  <c r="J342" i="1"/>
  <c r="L342" i="1" s="1"/>
  <c r="J341" i="1"/>
  <c r="L341" i="1" s="1"/>
  <c r="J340" i="1"/>
  <c r="L340" i="1" s="1"/>
  <c r="J339" i="1"/>
  <c r="L339" i="1" s="1"/>
  <c r="J338" i="1"/>
  <c r="L338" i="1" s="1"/>
  <c r="J337" i="1"/>
  <c r="L337" i="1" s="1"/>
  <c r="J336" i="1"/>
  <c r="L336" i="1" s="1"/>
  <c r="J335" i="1"/>
  <c r="L335" i="1" s="1"/>
  <c r="J334" i="1"/>
  <c r="L334" i="1" s="1"/>
  <c r="J333" i="1"/>
  <c r="L333" i="1" s="1"/>
  <c r="J332" i="1"/>
  <c r="L332" i="1" s="1"/>
  <c r="C331" i="1"/>
  <c r="J330" i="1"/>
  <c r="L330" i="1" s="1"/>
  <c r="J329" i="1"/>
  <c r="L329" i="1" s="1"/>
  <c r="J328" i="1"/>
  <c r="L328" i="1" s="1"/>
  <c r="J327" i="1"/>
  <c r="L327" i="1" s="1"/>
  <c r="J326" i="1"/>
  <c r="L326" i="1" s="1"/>
  <c r="J325" i="1"/>
  <c r="L325" i="1" s="1"/>
  <c r="J324" i="1"/>
  <c r="L324" i="1" s="1"/>
  <c r="J323" i="1"/>
  <c r="L323" i="1" s="1"/>
  <c r="J322" i="1"/>
  <c r="L322" i="1" s="1"/>
  <c r="J321" i="1"/>
  <c r="L321" i="1" s="1"/>
  <c r="C320" i="1"/>
  <c r="J317" i="1"/>
  <c r="L317" i="1" s="1"/>
  <c r="J316" i="1"/>
  <c r="L316" i="1" s="1"/>
  <c r="J315" i="1"/>
  <c r="L315" i="1" s="1"/>
  <c r="J314" i="1"/>
  <c r="L314" i="1" s="1"/>
  <c r="J313" i="1"/>
  <c r="L313" i="1" s="1"/>
  <c r="J312" i="1"/>
  <c r="L312" i="1" s="1"/>
  <c r="J311" i="1"/>
  <c r="L311" i="1" s="1"/>
  <c r="J310" i="1"/>
  <c r="L310" i="1" s="1"/>
  <c r="J309" i="1"/>
  <c r="L309" i="1" s="1"/>
  <c r="C308" i="1"/>
  <c r="J307" i="1"/>
  <c r="L307" i="1" s="1"/>
  <c r="J306" i="1"/>
  <c r="L306" i="1" s="1"/>
  <c r="J305" i="1"/>
  <c r="L305" i="1" s="1"/>
  <c r="J304" i="1"/>
  <c r="L304" i="1" s="1"/>
  <c r="J303" i="1"/>
  <c r="L303" i="1" s="1"/>
  <c r="J302" i="1"/>
  <c r="L302" i="1" s="1"/>
  <c r="J301" i="1"/>
  <c r="L301" i="1" s="1"/>
  <c r="J300" i="1"/>
  <c r="L300" i="1" s="1"/>
  <c r="J299" i="1"/>
  <c r="L299" i="1" s="1"/>
  <c r="J298" i="1"/>
  <c r="L298" i="1" s="1"/>
  <c r="J297" i="1"/>
  <c r="L297" i="1" s="1"/>
  <c r="J296" i="1"/>
  <c r="L296" i="1" s="1"/>
  <c r="J295" i="1"/>
  <c r="L295" i="1" s="1"/>
  <c r="J294" i="1"/>
  <c r="L294" i="1" s="1"/>
  <c r="C293" i="1"/>
  <c r="J291" i="1"/>
  <c r="L291" i="1" s="1"/>
  <c r="J290" i="1"/>
  <c r="L290" i="1" s="1"/>
  <c r="J289" i="1"/>
  <c r="L289" i="1" s="1"/>
  <c r="J288" i="1"/>
  <c r="L288" i="1" s="1"/>
  <c r="J287" i="1"/>
  <c r="L287" i="1" s="1"/>
  <c r="J286" i="1"/>
  <c r="L286" i="1" s="1"/>
  <c r="J285" i="1"/>
  <c r="L285" i="1" s="1"/>
  <c r="J284" i="1"/>
  <c r="L284" i="1" s="1"/>
  <c r="J283" i="1"/>
  <c r="L283" i="1" s="1"/>
  <c r="J282" i="1"/>
  <c r="L282" i="1" s="1"/>
  <c r="J281" i="1"/>
  <c r="L281" i="1" s="1"/>
  <c r="J280" i="1"/>
  <c r="L280" i="1" s="1"/>
  <c r="J279" i="1"/>
  <c r="L279" i="1" s="1"/>
  <c r="J278" i="1"/>
  <c r="L278" i="1" s="1"/>
  <c r="J277" i="1"/>
  <c r="L277" i="1" s="1"/>
  <c r="J276" i="1"/>
  <c r="L276" i="1" s="1"/>
  <c r="J275" i="1"/>
  <c r="L275" i="1" s="1"/>
  <c r="J274" i="1"/>
  <c r="J273" i="1"/>
  <c r="L273" i="1" s="1"/>
  <c r="J272" i="1"/>
  <c r="L272" i="1" s="1"/>
  <c r="J271" i="1"/>
  <c r="L271" i="1" s="1"/>
  <c r="J270" i="1"/>
  <c r="L270" i="1" s="1"/>
  <c r="J269" i="1"/>
  <c r="L269" i="1" s="1"/>
  <c r="J268" i="1"/>
  <c r="J267" i="1"/>
  <c r="L267" i="1" s="1"/>
  <c r="J266" i="1"/>
  <c r="L266" i="1" s="1"/>
  <c r="J265" i="1"/>
  <c r="L265" i="1" s="1"/>
  <c r="J264" i="1"/>
  <c r="L264" i="1" s="1"/>
  <c r="J263" i="1"/>
  <c r="L263" i="1" s="1"/>
  <c r="J262" i="1"/>
  <c r="L262" i="1" s="1"/>
  <c r="J261" i="1"/>
  <c r="L261" i="1" s="1"/>
  <c r="J260" i="1"/>
  <c r="L260" i="1" s="1"/>
  <c r="J259" i="1"/>
  <c r="J258" i="1"/>
  <c r="L258" i="1" s="1"/>
  <c r="J257" i="1"/>
  <c r="L257" i="1" s="1"/>
  <c r="J256" i="1"/>
  <c r="L256" i="1" s="1"/>
  <c r="J255" i="1"/>
  <c r="L255" i="1" s="1"/>
  <c r="J254" i="1"/>
  <c r="L254" i="1" s="1"/>
  <c r="J253" i="1"/>
  <c r="L253" i="1" s="1"/>
  <c r="J252" i="1"/>
  <c r="L252" i="1" s="1"/>
  <c r="J251" i="1"/>
  <c r="J250" i="1"/>
  <c r="L250" i="1" s="1"/>
  <c r="J249" i="1"/>
  <c r="L249" i="1" s="1"/>
  <c r="J248" i="1"/>
  <c r="J247" i="1"/>
  <c r="L247" i="1" s="1"/>
  <c r="J246" i="1"/>
  <c r="L246" i="1" s="1"/>
  <c r="J245" i="1"/>
  <c r="L245" i="1" s="1"/>
  <c r="J244" i="1"/>
  <c r="L244" i="1" s="1"/>
  <c r="J243" i="1"/>
  <c r="L243" i="1" s="1"/>
  <c r="J242" i="1"/>
  <c r="L242" i="1" s="1"/>
  <c r="J241" i="1"/>
  <c r="L241" i="1" s="1"/>
  <c r="J240" i="1"/>
  <c r="L240" i="1" s="1"/>
  <c r="J239" i="1"/>
  <c r="L239" i="1" s="1"/>
  <c r="J238" i="1"/>
  <c r="L238" i="1" s="1"/>
  <c r="J237" i="1"/>
  <c r="L237" i="1" s="1"/>
  <c r="J236" i="1"/>
  <c r="L236" i="1" s="1"/>
  <c r="J235" i="1"/>
  <c r="L235" i="1" s="1"/>
  <c r="J234" i="1"/>
  <c r="L234" i="1" s="1"/>
  <c r="J233" i="1"/>
  <c r="L233" i="1" s="1"/>
  <c r="J232" i="1"/>
  <c r="L232" i="1" s="1"/>
  <c r="J231" i="1"/>
  <c r="L231" i="1" s="1"/>
  <c r="J230" i="1"/>
  <c r="L230" i="1" s="1"/>
  <c r="J229" i="1"/>
  <c r="L229" i="1" s="1"/>
  <c r="J228" i="1"/>
  <c r="L228" i="1" s="1"/>
  <c r="J227" i="1"/>
  <c r="L227" i="1" s="1"/>
  <c r="J226" i="1"/>
  <c r="L226" i="1" s="1"/>
  <c r="J225" i="1"/>
  <c r="L225" i="1" s="1"/>
  <c r="J224" i="1"/>
  <c r="C223" i="1"/>
  <c r="J222" i="1"/>
  <c r="L222" i="1" s="1"/>
  <c r="J221" i="1"/>
  <c r="L221" i="1" s="1"/>
  <c r="J220" i="1"/>
  <c r="L220" i="1" s="1"/>
  <c r="J219" i="1"/>
  <c r="J218" i="1"/>
  <c r="C217" i="1"/>
  <c r="J216" i="1"/>
  <c r="L216" i="1" s="1"/>
  <c r="J215" i="1"/>
  <c r="L215" i="1" s="1"/>
  <c r="C214" i="1"/>
  <c r="J213" i="1"/>
  <c r="L213" i="1" s="1"/>
  <c r="J212" i="1"/>
  <c r="L212" i="1" s="1"/>
  <c r="J211" i="1"/>
  <c r="L211" i="1" s="1"/>
  <c r="C210" i="1"/>
  <c r="J209" i="1"/>
  <c r="L209" i="1" s="1"/>
  <c r="C208" i="1"/>
  <c r="J207" i="1"/>
  <c r="L207" i="1" s="1"/>
  <c r="J206" i="1"/>
  <c r="L206" i="1" s="1"/>
  <c r="J205" i="1"/>
  <c r="L205" i="1" s="1"/>
  <c r="C204" i="1"/>
  <c r="J202" i="1"/>
  <c r="L202" i="1" s="1"/>
  <c r="C201" i="1"/>
  <c r="J200" i="1"/>
  <c r="L200" i="1" s="1"/>
  <c r="J199" i="1"/>
  <c r="L199" i="1" s="1"/>
  <c r="C198" i="1"/>
  <c r="J197" i="1"/>
  <c r="L197" i="1" s="1"/>
  <c r="J196" i="1"/>
  <c r="L196" i="1" s="1"/>
  <c r="C195" i="1"/>
  <c r="J194" i="1"/>
  <c r="L194" i="1" s="1"/>
  <c r="J193" i="1"/>
  <c r="L193" i="1" s="1"/>
  <c r="J192" i="1"/>
  <c r="L192" i="1" s="1"/>
  <c r="C191" i="1"/>
  <c r="J190" i="1"/>
  <c r="L190" i="1" s="1"/>
  <c r="J189" i="1"/>
  <c r="L189" i="1" s="1"/>
  <c r="C188" i="1"/>
  <c r="J187" i="1"/>
  <c r="L187" i="1" s="1"/>
  <c r="J186" i="1"/>
  <c r="L186" i="1" s="1"/>
  <c r="C185" i="1"/>
  <c r="J184" i="1"/>
  <c r="L184" i="1" s="1"/>
  <c r="C183" i="1"/>
  <c r="J182" i="1"/>
  <c r="L182" i="1" s="1"/>
  <c r="J181" i="1"/>
  <c r="L181" i="1" s="1"/>
  <c r="J180" i="1"/>
  <c r="L180" i="1" s="1"/>
  <c r="J179" i="1"/>
  <c r="L179" i="1" s="1"/>
  <c r="J178" i="1"/>
  <c r="L178" i="1" s="1"/>
  <c r="J177" i="1"/>
  <c r="L177" i="1" s="1"/>
  <c r="J176" i="1"/>
  <c r="L176" i="1" s="1"/>
  <c r="C175" i="1"/>
  <c r="J174" i="1"/>
  <c r="L174" i="1" s="1"/>
  <c r="C173" i="1"/>
  <c r="J172" i="1"/>
  <c r="L172" i="1" s="1"/>
  <c r="J171" i="1"/>
  <c r="J170" i="1"/>
  <c r="L170" i="1" s="1"/>
  <c r="C169" i="1"/>
  <c r="J167" i="1"/>
  <c r="L167" i="1" s="1"/>
  <c r="J166" i="1"/>
  <c r="L166" i="1" s="1"/>
  <c r="J165" i="1"/>
  <c r="L165" i="1" s="1"/>
  <c r="J164" i="1"/>
  <c r="L164" i="1" s="1"/>
  <c r="J163" i="1"/>
  <c r="L163" i="1" s="1"/>
  <c r="J162" i="1"/>
  <c r="L162" i="1" s="1"/>
  <c r="J161" i="1"/>
  <c r="L161" i="1" s="1"/>
  <c r="J160" i="1"/>
  <c r="L160" i="1" s="1"/>
  <c r="J159" i="1"/>
  <c r="L159" i="1" s="1"/>
  <c r="J158" i="1"/>
  <c r="L158" i="1" s="1"/>
  <c r="J157" i="1"/>
  <c r="L157" i="1" s="1"/>
  <c r="J156" i="1"/>
  <c r="L156" i="1" s="1"/>
  <c r="J155" i="1"/>
  <c r="L155" i="1" s="1"/>
  <c r="J154" i="1"/>
  <c r="J153" i="1"/>
  <c r="L153" i="1" s="1"/>
  <c r="J152" i="1"/>
  <c r="L152" i="1" s="1"/>
  <c r="J151" i="1"/>
  <c r="J150" i="1"/>
  <c r="L150" i="1" s="1"/>
  <c r="J149" i="1"/>
  <c r="L149" i="1" s="1"/>
  <c r="J148" i="1"/>
  <c r="L148" i="1" s="1"/>
  <c r="J147" i="1"/>
  <c r="L147" i="1" s="1"/>
  <c r="J146" i="1"/>
  <c r="L146" i="1" s="1"/>
  <c r="J145" i="1"/>
  <c r="L145" i="1" s="1"/>
  <c r="J144" i="1"/>
  <c r="L144" i="1" s="1"/>
  <c r="J143" i="1"/>
  <c r="L143" i="1" s="1"/>
  <c r="J142" i="1"/>
  <c r="C141" i="1"/>
  <c r="C139" i="1" s="1"/>
  <c r="C135" i="1" s="1"/>
  <c r="J140" i="1"/>
  <c r="L140" i="1" s="1"/>
  <c r="J138" i="1"/>
  <c r="L138" i="1" s="1"/>
  <c r="J137" i="1"/>
  <c r="L137" i="1" s="1"/>
  <c r="J136" i="1"/>
  <c r="L136" i="1" s="1"/>
  <c r="J134" i="1"/>
  <c r="L134" i="1" s="1"/>
  <c r="J133" i="1"/>
  <c r="L133" i="1" s="1"/>
  <c r="J132" i="1"/>
  <c r="L132" i="1" s="1"/>
  <c r="C131" i="1"/>
  <c r="J130" i="1"/>
  <c r="L130" i="1" s="1"/>
  <c r="J129" i="1"/>
  <c r="L129" i="1" s="1"/>
  <c r="J128" i="1"/>
  <c r="L128" i="1" s="1"/>
  <c r="J127" i="1"/>
  <c r="L127" i="1" s="1"/>
  <c r="J126" i="1"/>
  <c r="L126" i="1" s="1"/>
  <c r="C125" i="1"/>
  <c r="J124" i="1"/>
  <c r="L124" i="1" s="1"/>
  <c r="J123" i="1"/>
  <c r="L123" i="1" s="1"/>
  <c r="J122" i="1"/>
  <c r="L122" i="1" s="1"/>
  <c r="J121" i="1"/>
  <c r="L121" i="1" s="1"/>
  <c r="J120" i="1"/>
  <c r="L120" i="1" s="1"/>
  <c r="J119" i="1"/>
  <c r="L119" i="1" s="1"/>
  <c r="J118" i="1"/>
  <c r="L118" i="1" s="1"/>
  <c r="J117" i="1"/>
  <c r="L117" i="1" s="1"/>
  <c r="J116" i="1"/>
  <c r="L116" i="1" s="1"/>
  <c r="J115" i="1"/>
  <c r="L115" i="1" s="1"/>
  <c r="J114" i="1"/>
  <c r="L114" i="1" s="1"/>
  <c r="J113" i="1"/>
  <c r="L113" i="1" s="1"/>
  <c r="J112" i="1"/>
  <c r="L112" i="1" s="1"/>
  <c r="J111" i="1"/>
  <c r="L111" i="1" s="1"/>
  <c r="J110" i="1"/>
  <c r="L110" i="1" s="1"/>
  <c r="J109" i="1"/>
  <c r="L109" i="1" s="1"/>
  <c r="J108" i="1"/>
  <c r="L108" i="1" s="1"/>
  <c r="J107" i="1"/>
  <c r="L107" i="1" s="1"/>
  <c r="J106" i="1"/>
  <c r="L106" i="1" s="1"/>
  <c r="C105" i="1"/>
  <c r="J102" i="1"/>
  <c r="L102" i="1" s="1"/>
  <c r="J101" i="1"/>
  <c r="L101" i="1" s="1"/>
  <c r="C100" i="1"/>
  <c r="C99" i="1" s="1"/>
  <c r="J98" i="1"/>
  <c r="L98" i="1" s="1"/>
  <c r="C97" i="1"/>
  <c r="J96" i="1"/>
  <c r="L96" i="1" s="1"/>
  <c r="J95" i="1"/>
  <c r="L95" i="1" s="1"/>
  <c r="J94" i="1"/>
  <c r="L94" i="1" s="1"/>
  <c r="J93" i="1"/>
  <c r="L93" i="1" s="1"/>
  <c r="J92" i="1"/>
  <c r="L92" i="1" s="1"/>
  <c r="C91" i="1"/>
  <c r="J90" i="1"/>
  <c r="L90" i="1" s="1"/>
  <c r="J89" i="1"/>
  <c r="L89" i="1" s="1"/>
  <c r="J88" i="1"/>
  <c r="L88" i="1" s="1"/>
  <c r="C87" i="1"/>
  <c r="J86" i="1"/>
  <c r="L86" i="1" s="1"/>
  <c r="J85" i="1"/>
  <c r="L85" i="1" s="1"/>
  <c r="C84" i="1"/>
  <c r="J83" i="1"/>
  <c r="L83" i="1" s="1"/>
  <c r="J82" i="1"/>
  <c r="L82" i="1" s="1"/>
  <c r="J81" i="1"/>
  <c r="L81" i="1" s="1"/>
  <c r="J80" i="1"/>
  <c r="L80" i="1" s="1"/>
  <c r="J79" i="1"/>
  <c r="L79" i="1" s="1"/>
  <c r="J78" i="1"/>
  <c r="L78" i="1" s="1"/>
  <c r="J77" i="1"/>
  <c r="L77" i="1" s="1"/>
  <c r="C76" i="1"/>
  <c r="J75" i="1"/>
  <c r="J73" i="1"/>
  <c r="L73" i="1" s="1"/>
  <c r="J72" i="1"/>
  <c r="L72" i="1" s="1"/>
  <c r="J71" i="1"/>
  <c r="L71" i="1" s="1"/>
  <c r="J70" i="1"/>
  <c r="L70" i="1" s="1"/>
  <c r="C69" i="1"/>
  <c r="J68" i="1"/>
  <c r="L68" i="1" s="1"/>
  <c r="J67" i="1"/>
  <c r="L67" i="1" s="1"/>
  <c r="J66" i="1"/>
  <c r="L66" i="1" s="1"/>
  <c r="C65" i="1"/>
  <c r="J64" i="1"/>
  <c r="L64" i="1" s="1"/>
  <c r="J63" i="1"/>
  <c r="L63" i="1" s="1"/>
  <c r="C62" i="1"/>
  <c r="J61" i="1"/>
  <c r="L61" i="1" s="1"/>
  <c r="J60" i="1"/>
  <c r="L60" i="1" s="1"/>
  <c r="J59" i="1"/>
  <c r="L59" i="1" s="1"/>
  <c r="J58" i="1"/>
  <c r="L58" i="1" s="1"/>
  <c r="J57" i="1"/>
  <c r="L57" i="1" s="1"/>
  <c r="C56" i="1"/>
  <c r="J55" i="1"/>
  <c r="L55" i="1" s="1"/>
  <c r="J54" i="1"/>
  <c r="L54" i="1" s="1"/>
  <c r="J53" i="1"/>
  <c r="L53" i="1" s="1"/>
  <c r="J52" i="1"/>
  <c r="L52" i="1" s="1"/>
  <c r="J51" i="1"/>
  <c r="L51" i="1" s="1"/>
  <c r="C50" i="1"/>
  <c r="J49" i="1"/>
  <c r="L49" i="1" s="1"/>
  <c r="J48" i="1"/>
  <c r="L48" i="1" s="1"/>
  <c r="J47" i="1"/>
  <c r="L47" i="1" s="1"/>
  <c r="J46" i="1"/>
  <c r="L46" i="1" s="1"/>
  <c r="C45" i="1"/>
  <c r="J44" i="1"/>
  <c r="L44" i="1" s="1"/>
  <c r="C43" i="1"/>
  <c r="J42" i="1"/>
  <c r="L42" i="1" s="1"/>
  <c r="J41" i="1"/>
  <c r="L41" i="1" s="1"/>
  <c r="C40" i="1"/>
  <c r="J39" i="1"/>
  <c r="L39" i="1" s="1"/>
  <c r="J38" i="1"/>
  <c r="L38" i="1" s="1"/>
  <c r="J37" i="1"/>
  <c r="L37" i="1" s="1"/>
  <c r="C36" i="1"/>
  <c r="J34" i="1"/>
  <c r="L34" i="1" s="1"/>
  <c r="J33" i="1"/>
  <c r="L33" i="1" s="1"/>
  <c r="C32" i="1"/>
  <c r="J31" i="1"/>
  <c r="L31" i="1" s="1"/>
  <c r="J30" i="1"/>
  <c r="L30" i="1" s="1"/>
  <c r="J29" i="1"/>
  <c r="L29" i="1" s="1"/>
  <c r="C28" i="1"/>
  <c r="J27" i="1"/>
  <c r="L27" i="1" s="1"/>
  <c r="C26" i="1"/>
  <c r="J25" i="1"/>
  <c r="L25" i="1" s="1"/>
  <c r="J24" i="1"/>
  <c r="L24" i="1" s="1"/>
  <c r="C23" i="1"/>
  <c r="J22" i="1"/>
  <c r="L22" i="1" s="1"/>
  <c r="C21" i="1"/>
  <c r="J20" i="1"/>
  <c r="L20" i="1" s="1"/>
  <c r="J19" i="1"/>
  <c r="L19" i="1" s="1"/>
  <c r="J18" i="1"/>
  <c r="L18" i="1" s="1"/>
  <c r="J17" i="1"/>
  <c r="L17" i="1" s="1"/>
  <c r="J16" i="1"/>
  <c r="L16" i="1" s="1"/>
  <c r="J15" i="1"/>
  <c r="L15" i="1" s="1"/>
  <c r="J14" i="1"/>
  <c r="L14" i="1" s="1"/>
  <c r="J13" i="1"/>
  <c r="L13" i="1" s="1"/>
  <c r="J12" i="1"/>
  <c r="L12" i="1" s="1"/>
  <c r="J11" i="1"/>
  <c r="L11" i="1" s="1"/>
  <c r="C10" i="1"/>
  <c r="J9" i="1"/>
  <c r="L9" i="1" s="1"/>
  <c r="J8" i="1"/>
  <c r="L8" i="1" s="1"/>
  <c r="C168" i="1" l="1"/>
  <c r="C74" i="1"/>
  <c r="L75" i="1"/>
  <c r="C319" i="1"/>
  <c r="C318" i="1" s="1"/>
  <c r="C292" i="1"/>
  <c r="C35" i="1"/>
  <c r="C7" i="1" s="1"/>
  <c r="C6" i="1" s="1"/>
  <c r="C203" i="1"/>
  <c r="C104" i="1" s="1"/>
  <c r="C103" i="1" s="1"/>
  <c r="C5" i="1" l="1"/>
  <c r="C202" i="6" l="1"/>
  <c r="C200" i="6"/>
  <c r="C185" i="6" l="1"/>
  <c r="M219" i="1"/>
  <c r="K219" i="1"/>
  <c r="L219" i="1" s="1"/>
  <c r="D293" i="1" l="1"/>
  <c r="D223" i="1"/>
  <c r="D201" i="1"/>
  <c r="D198" i="1"/>
  <c r="D195" i="1"/>
  <c r="D191" i="1"/>
  <c r="D188" i="1"/>
  <c r="D185" i="1"/>
  <c r="D183" i="1"/>
  <c r="D175" i="1"/>
  <c r="D173" i="1"/>
  <c r="D169" i="1"/>
  <c r="D141" i="1"/>
  <c r="D131" i="1"/>
  <c r="D125" i="1"/>
  <c r="D105" i="1"/>
  <c r="D100" i="1"/>
  <c r="D99" i="1" s="1"/>
  <c r="D91" i="1"/>
  <c r="D87" i="1"/>
  <c r="D84" i="1"/>
  <c r="D76" i="1"/>
  <c r="D69" i="1"/>
  <c r="D65" i="1"/>
  <c r="D62" i="1"/>
  <c r="D56" i="1"/>
  <c r="D50" i="1"/>
  <c r="D40" i="1"/>
  <c r="D32" i="1"/>
  <c r="D28" i="1"/>
  <c r="D26" i="1"/>
  <c r="D23" i="1"/>
  <c r="D21" i="1"/>
  <c r="D10" i="1"/>
  <c r="C164" i="6"/>
  <c r="C168" i="6" s="1"/>
  <c r="A164" i="6"/>
  <c r="C166" i="6"/>
  <c r="A167" i="6"/>
  <c r="A166" i="6"/>
  <c r="C165" i="6"/>
  <c r="C163" i="6"/>
  <c r="C162" i="6"/>
  <c r="C161" i="6"/>
  <c r="C160" i="6"/>
  <c r="C159" i="6"/>
  <c r="C158" i="6"/>
  <c r="C157" i="6"/>
  <c r="A165" i="6"/>
  <c r="A163" i="6"/>
  <c r="A162" i="6"/>
  <c r="A161" i="6"/>
  <c r="A160" i="6"/>
  <c r="A159" i="6"/>
  <c r="A158" i="6"/>
  <c r="A157" i="6"/>
  <c r="C153" i="6"/>
  <c r="C149" i="6"/>
  <c r="C167" i="6" s="1"/>
  <c r="C145" i="6"/>
  <c r="C122" i="6"/>
  <c r="C97" i="6"/>
  <c r="C116" i="6"/>
  <c r="C128" i="6"/>
  <c r="C78" i="6"/>
  <c r="C73" i="6"/>
  <c r="C67" i="6"/>
  <c r="C33" i="6"/>
  <c r="D74" i="1" l="1"/>
  <c r="D168" i="1"/>
  <c r="C24" i="3"/>
  <c r="M225" i="1"/>
  <c r="M49" i="1"/>
  <c r="M370" i="1"/>
  <c r="R370" i="1" s="1"/>
  <c r="M364" i="1"/>
  <c r="M355" i="1"/>
  <c r="M312" i="1"/>
  <c r="M311" i="1"/>
  <c r="M309" i="1"/>
  <c r="M302" i="1"/>
  <c r="M301" i="1"/>
  <c r="M300" i="1"/>
  <c r="M299" i="1"/>
  <c r="M297" i="1"/>
  <c r="M296" i="1"/>
  <c r="M295" i="1"/>
  <c r="M294" i="1"/>
  <c r="M316" i="1"/>
  <c r="M315" i="1"/>
  <c r="M286" i="1"/>
  <c r="K259" i="1"/>
  <c r="L259" i="1" s="1"/>
  <c r="K268" i="1"/>
  <c r="L268" i="1" s="1"/>
  <c r="K274" i="1"/>
  <c r="L274" i="1" s="1"/>
  <c r="K251" i="1"/>
  <c r="L251" i="1" s="1"/>
  <c r="K248" i="1"/>
  <c r="L248" i="1" s="1"/>
  <c r="M240" i="1"/>
  <c r="M224" i="1"/>
  <c r="K224" i="1"/>
  <c r="L224" i="1" s="1"/>
  <c r="K218" i="1"/>
  <c r="L218" i="1" s="1"/>
  <c r="M215" i="1"/>
  <c r="M202" i="1"/>
  <c r="M200" i="1"/>
  <c r="M192" i="1"/>
  <c r="M186" i="1"/>
  <c r="M180" i="1"/>
  <c r="M179" i="1"/>
  <c r="M178" i="1"/>
  <c r="M177" i="1"/>
  <c r="M170" i="1"/>
  <c r="K171" i="1"/>
  <c r="L171" i="1" s="1"/>
  <c r="M151" i="1"/>
  <c r="K151" i="1"/>
  <c r="L151" i="1" s="1"/>
  <c r="K154" i="1"/>
  <c r="L154" i="1" s="1"/>
  <c r="K142" i="1"/>
  <c r="L142" i="1" s="1"/>
  <c r="M146" i="1"/>
  <c r="M96" i="1"/>
  <c r="M92" i="1"/>
  <c r="M81" i="1"/>
  <c r="M79" i="1"/>
  <c r="M78" i="1"/>
  <c r="M75" i="1"/>
  <c r="M72" i="1"/>
  <c r="M71" i="1"/>
  <c r="M70" i="1"/>
  <c r="M67" i="1"/>
  <c r="M66" i="1"/>
  <c r="M64" i="1"/>
  <c r="M55" i="1"/>
  <c r="M54" i="1"/>
  <c r="M53" i="1"/>
  <c r="M48" i="1"/>
  <c r="M52" i="1"/>
  <c r="M46" i="1" l="1"/>
  <c r="D30" i="4"/>
  <c r="M31" i="1"/>
  <c r="D12" i="4"/>
  <c r="M29" i="1"/>
  <c r="D9" i="4"/>
  <c r="M24" i="1"/>
  <c r="D6" i="4"/>
  <c r="C528" i="4"/>
  <c r="A528" i="4"/>
  <c r="C527" i="4"/>
  <c r="A527" i="4"/>
  <c r="C526" i="4"/>
  <c r="A526" i="4"/>
  <c r="C525" i="4"/>
  <c r="A525" i="4"/>
  <c r="C524" i="4"/>
  <c r="A524" i="4"/>
  <c r="C523" i="4"/>
  <c r="A523" i="4"/>
  <c r="C522" i="4"/>
  <c r="A522" i="4"/>
  <c r="C521" i="4"/>
  <c r="A521" i="4"/>
  <c r="C520" i="4"/>
  <c r="A520" i="4"/>
  <c r="C519" i="4"/>
  <c r="A519" i="4"/>
  <c r="C518" i="4"/>
  <c r="A518" i="4"/>
  <c r="C517" i="4"/>
  <c r="A517" i="4"/>
  <c r="C516" i="4"/>
  <c r="A516" i="4"/>
  <c r="C515" i="4"/>
  <c r="A515" i="4"/>
  <c r="C514" i="4"/>
  <c r="A514" i="4"/>
  <c r="C513" i="4"/>
  <c r="A513" i="4"/>
  <c r="C512" i="4"/>
  <c r="A512" i="4"/>
  <c r="C511" i="4"/>
  <c r="A511" i="4"/>
  <c r="C510" i="4"/>
  <c r="A510" i="4"/>
  <c r="C509" i="4"/>
  <c r="A509" i="4"/>
  <c r="C508" i="4"/>
  <c r="A508" i="4"/>
  <c r="C507" i="4"/>
  <c r="A507" i="4"/>
  <c r="C506" i="4"/>
  <c r="A506" i="4"/>
  <c r="C505" i="4"/>
  <c r="A505" i="4"/>
  <c r="C504" i="4"/>
  <c r="A504" i="4"/>
  <c r="C503" i="4"/>
  <c r="A503" i="4"/>
  <c r="C502" i="4"/>
  <c r="A502" i="4"/>
  <c r="C501" i="4"/>
  <c r="A501" i="4"/>
  <c r="C500" i="4"/>
  <c r="A500" i="4"/>
  <c r="C499" i="4"/>
  <c r="A499" i="4"/>
  <c r="C498" i="4"/>
  <c r="A498" i="4"/>
  <c r="C497" i="4"/>
  <c r="A497" i="4"/>
  <c r="C496" i="4"/>
  <c r="A496" i="4"/>
  <c r="C495" i="4"/>
  <c r="A495" i="4"/>
  <c r="C494" i="4"/>
  <c r="A494" i="4"/>
  <c r="C493" i="4"/>
  <c r="A493" i="4"/>
  <c r="C492" i="4"/>
  <c r="A492" i="4"/>
  <c r="C491" i="4"/>
  <c r="A491" i="4"/>
  <c r="C490" i="4"/>
  <c r="A490" i="4"/>
  <c r="C489" i="4"/>
  <c r="A489" i="4"/>
  <c r="C488" i="4"/>
  <c r="A488" i="4"/>
  <c r="C487" i="4"/>
  <c r="A487" i="4"/>
  <c r="C486" i="4"/>
  <c r="A486" i="4"/>
  <c r="C485" i="4"/>
  <c r="A485" i="4"/>
  <c r="C484" i="4"/>
  <c r="A484" i="4"/>
  <c r="C483" i="4"/>
  <c r="A483" i="4"/>
  <c r="C482" i="4"/>
  <c r="A482" i="4"/>
  <c r="C481" i="4"/>
  <c r="A481" i="4"/>
  <c r="C480" i="4"/>
  <c r="A480" i="4"/>
  <c r="C479" i="4"/>
  <c r="A479" i="4"/>
  <c r="C478" i="4"/>
  <c r="A478" i="4"/>
  <c r="C477" i="4"/>
  <c r="A477" i="4"/>
  <c r="C476" i="4"/>
  <c r="A476" i="4"/>
  <c r="C475" i="4"/>
  <c r="A475" i="4"/>
  <c r="C474" i="4"/>
  <c r="A474" i="4"/>
  <c r="C473" i="4"/>
  <c r="A473" i="4"/>
  <c r="C472" i="4"/>
  <c r="A472" i="4"/>
  <c r="C471" i="4"/>
  <c r="A471" i="4"/>
  <c r="C470" i="4"/>
  <c r="A470" i="4"/>
  <c r="C469" i="4"/>
  <c r="A469" i="4"/>
  <c r="C468" i="4"/>
  <c r="A468" i="4"/>
  <c r="C467" i="4"/>
  <c r="A467" i="4"/>
  <c r="C466" i="4"/>
  <c r="A466" i="4"/>
  <c r="C465" i="4"/>
  <c r="A465" i="4"/>
  <c r="C464" i="4"/>
  <c r="A464" i="4"/>
  <c r="C463" i="4"/>
  <c r="A463" i="4"/>
  <c r="C462" i="4"/>
  <c r="A462" i="4"/>
  <c r="C461" i="4"/>
  <c r="A461" i="4"/>
  <c r="C460" i="4"/>
  <c r="A460" i="4"/>
  <c r="C459" i="4"/>
  <c r="A459" i="4"/>
  <c r="C458" i="4"/>
  <c r="A458" i="4"/>
  <c r="C457" i="4"/>
  <c r="A457" i="4"/>
  <c r="C456" i="4"/>
  <c r="A456" i="4"/>
  <c r="C455" i="4"/>
  <c r="A455" i="4"/>
  <c r="C454" i="4"/>
  <c r="A454" i="4"/>
  <c r="C453" i="4"/>
  <c r="A453" i="4"/>
  <c r="C452" i="4"/>
  <c r="A452" i="4"/>
  <c r="C451" i="4"/>
  <c r="A451" i="4"/>
  <c r="C450" i="4"/>
  <c r="A450" i="4"/>
  <c r="C449" i="4"/>
  <c r="A449" i="4"/>
  <c r="C448" i="4"/>
  <c r="A448" i="4"/>
  <c r="C447" i="4"/>
  <c r="A447" i="4"/>
  <c r="C446" i="4"/>
  <c r="A446" i="4"/>
  <c r="C445" i="4"/>
  <c r="A445" i="4"/>
  <c r="C444" i="4"/>
  <c r="A444" i="4"/>
  <c r="C443" i="4"/>
  <c r="A443" i="4"/>
  <c r="C442" i="4"/>
  <c r="A442" i="4"/>
  <c r="C441" i="4"/>
  <c r="A441" i="4"/>
  <c r="C440" i="4"/>
  <c r="A440" i="4"/>
  <c r="C439" i="4"/>
  <c r="A439" i="4"/>
  <c r="C438" i="4"/>
  <c r="A438" i="4"/>
  <c r="C437" i="4"/>
  <c r="A437" i="4"/>
  <c r="C436" i="4"/>
  <c r="A436" i="4"/>
  <c r="C435" i="4"/>
  <c r="A435" i="4"/>
  <c r="C434" i="4"/>
  <c r="A434" i="4"/>
  <c r="C433" i="4"/>
  <c r="A433" i="4"/>
  <c r="C432" i="4"/>
  <c r="A432" i="4"/>
  <c r="C431" i="4"/>
  <c r="A431" i="4"/>
  <c r="C430" i="4"/>
  <c r="A430" i="4"/>
  <c r="C429" i="4"/>
  <c r="A429" i="4"/>
  <c r="C428" i="4"/>
  <c r="A428" i="4"/>
  <c r="C427" i="4"/>
  <c r="A427" i="4"/>
  <c r="C426" i="4"/>
  <c r="A426" i="4"/>
  <c r="C420" i="4"/>
  <c r="A420" i="4"/>
  <c r="C419" i="4"/>
  <c r="A419" i="4"/>
  <c r="C418" i="4"/>
  <c r="A418" i="4"/>
  <c r="C417" i="4"/>
  <c r="A417" i="4"/>
  <c r="C416" i="4"/>
  <c r="A416" i="4"/>
  <c r="C415" i="4"/>
  <c r="A415" i="4"/>
  <c r="C414" i="4"/>
  <c r="A414" i="4"/>
  <c r="C413" i="4"/>
  <c r="A413" i="4"/>
  <c r="C412" i="4"/>
  <c r="A412" i="4"/>
  <c r="C411" i="4"/>
  <c r="A411" i="4"/>
  <c r="C410" i="4"/>
  <c r="A410" i="4"/>
  <c r="C409" i="4"/>
  <c r="A409" i="4"/>
  <c r="C408" i="4"/>
  <c r="A408" i="4"/>
  <c r="C407" i="4"/>
  <c r="A407" i="4"/>
  <c r="C406" i="4"/>
  <c r="A406" i="4"/>
  <c r="C405" i="4"/>
  <c r="A405" i="4"/>
  <c r="C404" i="4"/>
  <c r="A404" i="4"/>
  <c r="C403" i="4"/>
  <c r="A403" i="4"/>
  <c r="C402" i="4"/>
  <c r="A402" i="4"/>
  <c r="C401" i="4"/>
  <c r="A401" i="4"/>
  <c r="C400" i="4"/>
  <c r="A400" i="4"/>
  <c r="C399" i="4"/>
  <c r="A399" i="4"/>
  <c r="C398" i="4"/>
  <c r="A398" i="4"/>
  <c r="C397" i="4"/>
  <c r="A397" i="4"/>
  <c r="C396" i="4"/>
  <c r="A396" i="4"/>
  <c r="C395" i="4"/>
  <c r="A395" i="4"/>
  <c r="C394" i="4"/>
  <c r="A394" i="4"/>
  <c r="C393" i="4"/>
  <c r="A393" i="4"/>
  <c r="C392" i="4"/>
  <c r="A392" i="4"/>
  <c r="C391" i="4"/>
  <c r="A391" i="4"/>
  <c r="C390" i="4"/>
  <c r="A390" i="4"/>
  <c r="C389" i="4"/>
  <c r="A389" i="4"/>
  <c r="C388" i="4"/>
  <c r="A388" i="4"/>
  <c r="C387" i="4"/>
  <c r="A387" i="4"/>
  <c r="C386" i="4"/>
  <c r="A386" i="4"/>
  <c r="C385" i="4"/>
  <c r="A385" i="4"/>
  <c r="C384" i="4"/>
  <c r="A384" i="4"/>
  <c r="C383" i="4"/>
  <c r="A383" i="4"/>
  <c r="C382" i="4"/>
  <c r="A382" i="4"/>
  <c r="C381" i="4"/>
  <c r="A381" i="4"/>
  <c r="C380" i="4"/>
  <c r="A380" i="4"/>
  <c r="C379" i="4"/>
  <c r="A379" i="4"/>
  <c r="C378" i="4"/>
  <c r="A378" i="4"/>
  <c r="C377" i="4"/>
  <c r="A377" i="4"/>
  <c r="C376" i="4"/>
  <c r="A376" i="4"/>
  <c r="C375" i="4"/>
  <c r="A375" i="4"/>
  <c r="C374" i="4"/>
  <c r="A374" i="4"/>
  <c r="C373" i="4"/>
  <c r="A373" i="4"/>
  <c r="C372" i="4"/>
  <c r="A372" i="4"/>
  <c r="C371" i="4"/>
  <c r="A371" i="4"/>
  <c r="C370" i="4"/>
  <c r="A370" i="4"/>
  <c r="C369" i="4"/>
  <c r="A369" i="4"/>
  <c r="C368" i="4"/>
  <c r="A368" i="4"/>
  <c r="C367" i="4"/>
  <c r="A367" i="4"/>
  <c r="C366" i="4"/>
  <c r="A366" i="4"/>
  <c r="C365" i="4"/>
  <c r="A365" i="4"/>
  <c r="C364" i="4"/>
  <c r="A364" i="4"/>
  <c r="C363" i="4"/>
  <c r="A363" i="4"/>
  <c r="C362" i="4"/>
  <c r="A362" i="4"/>
  <c r="C361" i="4"/>
  <c r="A361" i="4"/>
  <c r="C360" i="4"/>
  <c r="A360" i="4"/>
  <c r="C359" i="4"/>
  <c r="A359" i="4"/>
  <c r="C358" i="4"/>
  <c r="A358" i="4"/>
  <c r="C357" i="4"/>
  <c r="A357" i="4"/>
  <c r="C356" i="4"/>
  <c r="A356" i="4"/>
  <c r="C355" i="4"/>
  <c r="A355" i="4"/>
  <c r="C354" i="4"/>
  <c r="A354" i="4"/>
  <c r="C353" i="4"/>
  <c r="A353" i="4"/>
  <c r="C352" i="4"/>
  <c r="A352" i="4"/>
  <c r="C351" i="4"/>
  <c r="A351" i="4"/>
  <c r="C350" i="4"/>
  <c r="A350" i="4"/>
  <c r="C349" i="4"/>
  <c r="A349" i="4"/>
  <c r="C348" i="4"/>
  <c r="A348" i="4"/>
  <c r="C347" i="4"/>
  <c r="A347" i="4"/>
  <c r="C346" i="4"/>
  <c r="A346" i="4"/>
  <c r="C345" i="4"/>
  <c r="A345" i="4"/>
  <c r="C344" i="4"/>
  <c r="A344" i="4"/>
  <c r="C343" i="4"/>
  <c r="A343" i="4"/>
  <c r="C342" i="4"/>
  <c r="A342" i="4"/>
  <c r="C341" i="4"/>
  <c r="A341" i="4"/>
  <c r="C340" i="4"/>
  <c r="A340" i="4"/>
  <c r="C339" i="4"/>
  <c r="A339" i="4"/>
  <c r="C338" i="4"/>
  <c r="A338" i="4"/>
  <c r="C337" i="4"/>
  <c r="A337" i="4"/>
  <c r="C336" i="4"/>
  <c r="A336" i="4"/>
  <c r="C335" i="4"/>
  <c r="A335" i="4"/>
  <c r="C334" i="4"/>
  <c r="A334" i="4"/>
  <c r="C333" i="4"/>
  <c r="A333" i="4"/>
  <c r="C332" i="4"/>
  <c r="A332" i="4"/>
  <c r="C331" i="4"/>
  <c r="A331" i="4"/>
  <c r="C330" i="4"/>
  <c r="A330" i="4"/>
  <c r="C329" i="4"/>
  <c r="A329" i="4"/>
  <c r="C328" i="4"/>
  <c r="A328" i="4"/>
  <c r="C327" i="4"/>
  <c r="A327" i="4"/>
  <c r="C326" i="4"/>
  <c r="A326" i="4"/>
  <c r="C325" i="4"/>
  <c r="A325" i="4"/>
  <c r="C324" i="4"/>
  <c r="A324" i="4"/>
  <c r="C323" i="4"/>
  <c r="A323" i="4"/>
  <c r="C322" i="4"/>
  <c r="A322" i="4"/>
  <c r="C321" i="4"/>
  <c r="A321" i="4"/>
  <c r="C320" i="4"/>
  <c r="A320" i="4"/>
  <c r="C319" i="4"/>
  <c r="A319" i="4"/>
  <c r="C318" i="4"/>
  <c r="A318" i="4"/>
  <c r="C317" i="4"/>
  <c r="A317" i="4"/>
  <c r="C316" i="4"/>
  <c r="A316" i="4"/>
  <c r="C315" i="4"/>
  <c r="A315" i="4"/>
  <c r="C314" i="4"/>
  <c r="A314" i="4"/>
  <c r="C313" i="4"/>
  <c r="A313" i="4"/>
  <c r="C312" i="4"/>
  <c r="A312" i="4"/>
  <c r="C311" i="4"/>
  <c r="A311" i="4"/>
  <c r="C310" i="4"/>
  <c r="A310" i="4"/>
  <c r="C309" i="4"/>
  <c r="A309" i="4"/>
  <c r="C308" i="4"/>
  <c r="A308" i="4"/>
  <c r="C307" i="4"/>
  <c r="A307" i="4"/>
  <c r="C306" i="4"/>
  <c r="A306" i="4"/>
  <c r="C305" i="4"/>
  <c r="A305" i="4"/>
  <c r="C304" i="4"/>
  <c r="A304" i="4"/>
  <c r="C303" i="4"/>
  <c r="A303" i="4"/>
  <c r="C302" i="4"/>
  <c r="A302" i="4"/>
  <c r="C301" i="4"/>
  <c r="A301" i="4"/>
  <c r="C300" i="4"/>
  <c r="A300" i="4"/>
  <c r="C299" i="4"/>
  <c r="A299" i="4"/>
  <c r="C298" i="4"/>
  <c r="A298" i="4"/>
  <c r="C297" i="4"/>
  <c r="A297" i="4"/>
  <c r="C296" i="4"/>
  <c r="A296" i="4"/>
  <c r="C295" i="4"/>
  <c r="A295" i="4"/>
  <c r="C294" i="4"/>
  <c r="A294" i="4"/>
  <c r="C293" i="4"/>
  <c r="A293" i="4"/>
  <c r="C292" i="4"/>
  <c r="A292" i="4"/>
  <c r="C291" i="4"/>
  <c r="A291" i="4"/>
  <c r="C290" i="4"/>
  <c r="A290" i="4"/>
  <c r="C289" i="4"/>
  <c r="A289" i="4"/>
  <c r="C288" i="4"/>
  <c r="A288" i="4"/>
  <c r="C287" i="4"/>
  <c r="A287" i="4"/>
  <c r="C286" i="4"/>
  <c r="A286" i="4"/>
  <c r="C285" i="4"/>
  <c r="A285" i="4"/>
  <c r="C284" i="4"/>
  <c r="A284" i="4"/>
  <c r="C283" i="4"/>
  <c r="A283" i="4"/>
  <c r="C282" i="4"/>
  <c r="A282" i="4"/>
  <c r="C281" i="4"/>
  <c r="A281" i="4"/>
  <c r="C280" i="4"/>
  <c r="A280" i="4"/>
  <c r="C279" i="4"/>
  <c r="A279" i="4"/>
  <c r="C278" i="4"/>
  <c r="A278" i="4"/>
  <c r="C277" i="4"/>
  <c r="A277" i="4"/>
  <c r="C276" i="4"/>
  <c r="A276" i="4"/>
  <c r="C275" i="4"/>
  <c r="A275" i="4"/>
  <c r="C274" i="4"/>
  <c r="A274" i="4"/>
  <c r="C273" i="4"/>
  <c r="A273" i="4"/>
  <c r="C272" i="4"/>
  <c r="A272" i="4"/>
  <c r="C271" i="4"/>
  <c r="A271" i="4"/>
  <c r="C270" i="4"/>
  <c r="A270" i="4"/>
  <c r="C269" i="4"/>
  <c r="A269" i="4"/>
  <c r="C268" i="4"/>
  <c r="A268" i="4"/>
  <c r="C267" i="4"/>
  <c r="A267" i="4"/>
  <c r="C266" i="4"/>
  <c r="A266" i="4"/>
  <c r="C265" i="4"/>
  <c r="A265" i="4"/>
  <c r="C264" i="4"/>
  <c r="A264" i="4"/>
  <c r="C263" i="4"/>
  <c r="A263" i="4"/>
  <c r="C262" i="4"/>
  <c r="A262" i="4"/>
  <c r="C261" i="4"/>
  <c r="A261" i="4"/>
  <c r="C260" i="4"/>
  <c r="A260" i="4"/>
  <c r="C259" i="4"/>
  <c r="A259" i="4"/>
  <c r="C258" i="4"/>
  <c r="A258" i="4"/>
  <c r="C257" i="4"/>
  <c r="A257" i="4"/>
  <c r="C256" i="4"/>
  <c r="A256" i="4"/>
  <c r="C255" i="4"/>
  <c r="A255" i="4"/>
  <c r="C254" i="4"/>
  <c r="A254" i="4"/>
  <c r="C253" i="4"/>
  <c r="A253" i="4"/>
  <c r="C252" i="4"/>
  <c r="A252" i="4"/>
  <c r="C251" i="4"/>
  <c r="A251" i="4"/>
  <c r="C250" i="4"/>
  <c r="A250" i="4"/>
  <c r="C249" i="4"/>
  <c r="A249" i="4"/>
  <c r="C248" i="4"/>
  <c r="A248" i="4"/>
  <c r="C247" i="4"/>
  <c r="A247" i="4"/>
  <c r="C246" i="4"/>
  <c r="A246" i="4"/>
  <c r="C245" i="4"/>
  <c r="A245" i="4"/>
  <c r="C244" i="4"/>
  <c r="A244" i="4"/>
  <c r="C243" i="4"/>
  <c r="A243" i="4"/>
  <c r="C242" i="4"/>
  <c r="A242" i="4"/>
  <c r="C241" i="4"/>
  <c r="A241" i="4"/>
  <c r="C240" i="4"/>
  <c r="A240" i="4"/>
  <c r="C239" i="4"/>
  <c r="A239" i="4"/>
  <c r="C238" i="4"/>
  <c r="A238" i="4"/>
  <c r="C237" i="4"/>
  <c r="A237" i="4"/>
  <c r="C236" i="4"/>
  <c r="A236" i="4"/>
  <c r="C235" i="4"/>
  <c r="A235" i="4"/>
  <c r="C234" i="4"/>
  <c r="A234" i="4"/>
  <c r="C233" i="4"/>
  <c r="A233" i="4"/>
  <c r="C232" i="4"/>
  <c r="A232" i="4"/>
  <c r="C231" i="4"/>
  <c r="A231" i="4"/>
  <c r="C230" i="4"/>
  <c r="A230" i="4"/>
  <c r="C229" i="4"/>
  <c r="A229" i="4"/>
  <c r="C228" i="4"/>
  <c r="A228" i="4"/>
  <c r="C227" i="4"/>
  <c r="A227" i="4"/>
  <c r="C226" i="4"/>
  <c r="A226" i="4"/>
  <c r="C225" i="4"/>
  <c r="A225" i="4"/>
  <c r="C224" i="4"/>
  <c r="A224" i="4"/>
  <c r="C223" i="4"/>
  <c r="A223" i="4"/>
  <c r="C222" i="4"/>
  <c r="A222" i="4"/>
  <c r="C221" i="4"/>
  <c r="A221" i="4"/>
  <c r="C220" i="4"/>
  <c r="A220" i="4"/>
  <c r="C219" i="4"/>
  <c r="A219" i="4"/>
  <c r="C218" i="4"/>
  <c r="A218" i="4"/>
  <c r="C217" i="4"/>
  <c r="A217" i="4"/>
  <c r="C216" i="4"/>
  <c r="A216" i="4"/>
  <c r="C215" i="4"/>
  <c r="A215" i="4"/>
  <c r="C214" i="4"/>
  <c r="A214" i="4"/>
  <c r="C213" i="4"/>
  <c r="A213" i="4"/>
  <c r="C212" i="4"/>
  <c r="A212" i="4"/>
  <c r="C211" i="4"/>
  <c r="A211" i="4"/>
  <c r="C210" i="4"/>
  <c r="A210" i="4"/>
  <c r="C209" i="4"/>
  <c r="A209" i="4"/>
  <c r="C208" i="4"/>
  <c r="A208" i="4"/>
  <c r="C207" i="4"/>
  <c r="A207" i="4"/>
  <c r="C206" i="4"/>
  <c r="A206" i="4"/>
  <c r="C205" i="4"/>
  <c r="A205" i="4"/>
  <c r="C204" i="4"/>
  <c r="A204" i="4"/>
  <c r="C203" i="4"/>
  <c r="A203" i="4"/>
  <c r="C202" i="4"/>
  <c r="A202" i="4"/>
  <c r="C201" i="4"/>
  <c r="A201" i="4"/>
  <c r="C200" i="4"/>
  <c r="A200" i="4"/>
  <c r="C199" i="4"/>
  <c r="A199" i="4"/>
  <c r="C198" i="4"/>
  <c r="A198" i="4"/>
  <c r="C45" i="4"/>
  <c r="A130" i="3" l="1"/>
  <c r="A129" i="3"/>
  <c r="A125" i="3"/>
  <c r="A124" i="3"/>
  <c r="C111" i="3"/>
  <c r="C130" i="3" s="1"/>
  <c r="C106" i="3"/>
  <c r="C129" i="3" s="1"/>
  <c r="C60" i="3" l="1"/>
  <c r="C124" i="3" s="1"/>
  <c r="C89" i="3"/>
  <c r="C65" i="3"/>
  <c r="C125" i="3" s="1"/>
  <c r="C55" i="3"/>
  <c r="C123" i="3" s="1"/>
  <c r="A128" i="3" l="1"/>
  <c r="A127" i="3"/>
  <c r="A126" i="3"/>
  <c r="C128" i="3"/>
  <c r="A123" i="3"/>
  <c r="A122" i="3"/>
  <c r="C97" i="2"/>
  <c r="C70" i="3" l="1"/>
  <c r="C126" i="3" s="1"/>
  <c r="C122" i="3" l="1"/>
  <c r="C82" i="2" l="1"/>
  <c r="R372" i="1" l="1"/>
  <c r="R371" i="1"/>
  <c r="R369" i="1"/>
  <c r="R366" i="1"/>
  <c r="R365" i="1"/>
  <c r="R364" i="1"/>
  <c r="R363" i="1"/>
  <c r="R362" i="1"/>
  <c r="R361" i="1"/>
  <c r="R360" i="1"/>
  <c r="R359" i="1"/>
  <c r="R358" i="1"/>
  <c r="R357" i="1"/>
  <c r="R356" i="1"/>
  <c r="R355" i="1"/>
  <c r="R354" i="1"/>
  <c r="R353" i="1"/>
  <c r="R352" i="1"/>
  <c r="R350" i="1"/>
  <c r="R349" i="1"/>
  <c r="R348" i="1"/>
  <c r="R347" i="1"/>
  <c r="R346" i="1"/>
  <c r="R344" i="1"/>
  <c r="R343" i="1"/>
  <c r="R342" i="1"/>
  <c r="R341" i="1"/>
  <c r="R340" i="1"/>
  <c r="R339" i="1"/>
  <c r="R338" i="1"/>
  <c r="R337" i="1"/>
  <c r="R336" i="1"/>
  <c r="R335" i="1"/>
  <c r="R334" i="1"/>
  <c r="R333" i="1"/>
  <c r="R332" i="1"/>
  <c r="R330" i="1"/>
  <c r="R329" i="1"/>
  <c r="R328" i="1"/>
  <c r="R327" i="1"/>
  <c r="R326" i="1"/>
  <c r="R325" i="1"/>
  <c r="R324" i="1"/>
  <c r="R323" i="1"/>
  <c r="R322" i="1"/>
  <c r="R321" i="1"/>
  <c r="R316" i="1"/>
  <c r="R315" i="1"/>
  <c r="R314" i="1"/>
  <c r="R313" i="1"/>
  <c r="R312" i="1"/>
  <c r="R311" i="1"/>
  <c r="R310" i="1"/>
  <c r="R309" i="1"/>
  <c r="R307" i="1"/>
  <c r="R306" i="1"/>
  <c r="R305" i="1"/>
  <c r="R304" i="1"/>
  <c r="R303" i="1"/>
  <c r="R302" i="1"/>
  <c r="R301" i="1"/>
  <c r="R300" i="1"/>
  <c r="R299" i="1"/>
  <c r="R298" i="1"/>
  <c r="R297" i="1"/>
  <c r="R296" i="1"/>
  <c r="R295" i="1"/>
  <c r="R294" i="1"/>
  <c r="R291" i="1"/>
  <c r="R290" i="1"/>
  <c r="R289" i="1"/>
  <c r="R288" i="1"/>
  <c r="R287" i="1"/>
  <c r="R286" i="1"/>
  <c r="R285" i="1"/>
  <c r="R284" i="1"/>
  <c r="R283" i="1"/>
  <c r="R282" i="1"/>
  <c r="R281" i="1"/>
  <c r="R280" i="1"/>
  <c r="R279" i="1"/>
  <c r="R278" i="1"/>
  <c r="R277" i="1"/>
  <c r="R276" i="1"/>
  <c r="R275" i="1"/>
  <c r="R274" i="1"/>
  <c r="R273" i="1"/>
  <c r="R272" i="1"/>
  <c r="R271" i="1"/>
  <c r="R270" i="1"/>
  <c r="R269" i="1"/>
  <c r="R268" i="1"/>
  <c r="R267" i="1"/>
  <c r="R266" i="1"/>
  <c r="R265" i="1"/>
  <c r="R264" i="1"/>
  <c r="R263" i="1"/>
  <c r="R262" i="1"/>
  <c r="R261" i="1"/>
  <c r="R260" i="1"/>
  <c r="R259" i="1"/>
  <c r="R258" i="1"/>
  <c r="R257" i="1"/>
  <c r="R256" i="1"/>
  <c r="R255" i="1"/>
  <c r="R254" i="1"/>
  <c r="R253" i="1"/>
  <c r="R252" i="1"/>
  <c r="R251" i="1"/>
  <c r="R250" i="1"/>
  <c r="R249" i="1"/>
  <c r="R248" i="1"/>
  <c r="R247" i="1"/>
  <c r="R246" i="1"/>
  <c r="R245" i="1"/>
  <c r="R244" i="1"/>
  <c r="R243" i="1"/>
  <c r="R242" i="1"/>
  <c r="R241" i="1"/>
  <c r="R240" i="1"/>
  <c r="R239" i="1"/>
  <c r="R238" i="1"/>
  <c r="R237" i="1"/>
  <c r="R236" i="1"/>
  <c r="R235" i="1"/>
  <c r="R234" i="1"/>
  <c r="R233" i="1"/>
  <c r="R232" i="1"/>
  <c r="R231" i="1"/>
  <c r="R230" i="1"/>
  <c r="R229" i="1"/>
  <c r="R228" i="1"/>
  <c r="R227" i="1"/>
  <c r="R226" i="1"/>
  <c r="R225" i="1"/>
  <c r="R224" i="1"/>
  <c r="R222" i="1"/>
  <c r="R221" i="1"/>
  <c r="R220" i="1"/>
  <c r="R219" i="1"/>
  <c r="R218" i="1"/>
  <c r="R216" i="1"/>
  <c r="R215" i="1"/>
  <c r="R213" i="1"/>
  <c r="R212" i="1"/>
  <c r="R211" i="1"/>
  <c r="R209" i="1"/>
  <c r="R208" i="1" s="1"/>
  <c r="R207" i="1"/>
  <c r="R206" i="1"/>
  <c r="R205" i="1"/>
  <c r="R202" i="1"/>
  <c r="R200" i="1"/>
  <c r="R199" i="1"/>
  <c r="R194" i="1"/>
  <c r="R193" i="1"/>
  <c r="R192" i="1"/>
  <c r="R190" i="1"/>
  <c r="R189" i="1"/>
  <c r="R187" i="1"/>
  <c r="R186" i="1"/>
  <c r="R182" i="1"/>
  <c r="R181" i="1"/>
  <c r="R180" i="1"/>
  <c r="R179" i="1"/>
  <c r="R178" i="1"/>
  <c r="R177" i="1"/>
  <c r="R176" i="1"/>
  <c r="R174" i="1"/>
  <c r="R173" i="1" s="1"/>
  <c r="R172" i="1"/>
  <c r="R171" i="1"/>
  <c r="R170" i="1"/>
  <c r="R167" i="1"/>
  <c r="R166" i="1"/>
  <c r="R165" i="1"/>
  <c r="R164" i="1"/>
  <c r="R163" i="1"/>
  <c r="R162" i="1"/>
  <c r="R161" i="1"/>
  <c r="R160" i="1"/>
  <c r="R159" i="1"/>
  <c r="R158" i="1"/>
  <c r="R157" i="1"/>
  <c r="R156" i="1"/>
  <c r="R155" i="1"/>
  <c r="R154" i="1"/>
  <c r="R153" i="1"/>
  <c r="R152" i="1"/>
  <c r="R151" i="1"/>
  <c r="R150" i="1"/>
  <c r="R149" i="1"/>
  <c r="R148" i="1"/>
  <c r="R147" i="1"/>
  <c r="R146" i="1"/>
  <c r="R145" i="1"/>
  <c r="R144" i="1"/>
  <c r="R143" i="1"/>
  <c r="R142" i="1"/>
  <c r="R138" i="1"/>
  <c r="R137" i="1"/>
  <c r="R136" i="1"/>
  <c r="R134" i="1"/>
  <c r="R133" i="1"/>
  <c r="R132" i="1"/>
  <c r="R130" i="1"/>
  <c r="R129" i="1"/>
  <c r="R128" i="1"/>
  <c r="R127" i="1"/>
  <c r="R126" i="1"/>
  <c r="R124" i="1"/>
  <c r="R123" i="1"/>
  <c r="R122" i="1"/>
  <c r="R121" i="1"/>
  <c r="R120" i="1"/>
  <c r="R119" i="1"/>
  <c r="R118" i="1"/>
  <c r="R117" i="1"/>
  <c r="R116" i="1"/>
  <c r="R115" i="1"/>
  <c r="R114" i="1"/>
  <c r="R113" i="1"/>
  <c r="R112" i="1"/>
  <c r="R111" i="1"/>
  <c r="R110" i="1"/>
  <c r="R109" i="1"/>
  <c r="R108" i="1"/>
  <c r="R107" i="1"/>
  <c r="R106" i="1"/>
  <c r="R102" i="1"/>
  <c r="R101" i="1"/>
  <c r="R98" i="1"/>
  <c r="R97" i="1" s="1"/>
  <c r="R96" i="1"/>
  <c r="R95" i="1"/>
  <c r="R94" i="1"/>
  <c r="R93" i="1"/>
  <c r="R92" i="1"/>
  <c r="R90" i="1"/>
  <c r="R89" i="1"/>
  <c r="R88" i="1"/>
  <c r="R86" i="1"/>
  <c r="R85" i="1"/>
  <c r="R84" i="1" s="1"/>
  <c r="R83" i="1"/>
  <c r="R82" i="1"/>
  <c r="R81" i="1"/>
  <c r="R80" i="1"/>
  <c r="R79" i="1"/>
  <c r="R78" i="1"/>
  <c r="R77" i="1"/>
  <c r="R75" i="1"/>
  <c r="R73" i="1"/>
  <c r="R72" i="1"/>
  <c r="R71" i="1"/>
  <c r="R70" i="1"/>
  <c r="R68" i="1"/>
  <c r="R67" i="1"/>
  <c r="R66" i="1"/>
  <c r="R64" i="1"/>
  <c r="R63" i="1"/>
  <c r="R61" i="1"/>
  <c r="R60" i="1"/>
  <c r="R59" i="1"/>
  <c r="R58" i="1"/>
  <c r="R57" i="1"/>
  <c r="R55" i="1"/>
  <c r="R54" i="1"/>
  <c r="R53" i="1"/>
  <c r="R52" i="1"/>
  <c r="R51" i="1"/>
  <c r="R49" i="1"/>
  <c r="R48" i="1"/>
  <c r="R47" i="1"/>
  <c r="R46" i="1"/>
  <c r="R44" i="1"/>
  <c r="R43" i="1" s="1"/>
  <c r="R42" i="1"/>
  <c r="R41" i="1"/>
  <c r="R39" i="1"/>
  <c r="R38" i="1"/>
  <c r="R37" i="1"/>
  <c r="R34" i="1"/>
  <c r="R33" i="1"/>
  <c r="R31" i="1"/>
  <c r="R30" i="1"/>
  <c r="R29" i="1"/>
  <c r="R27" i="1"/>
  <c r="R26" i="1" s="1"/>
  <c r="R25" i="1"/>
  <c r="R24" i="1"/>
  <c r="R22" i="1"/>
  <c r="R21" i="1" s="1"/>
  <c r="R9" i="1"/>
  <c r="R11" i="1"/>
  <c r="R12" i="1"/>
  <c r="R13" i="1"/>
  <c r="R14" i="1"/>
  <c r="R15" i="1"/>
  <c r="R16" i="1"/>
  <c r="R17" i="1"/>
  <c r="R18" i="1"/>
  <c r="R19" i="1"/>
  <c r="R20" i="1"/>
  <c r="R8" i="1"/>
  <c r="R317" i="1"/>
  <c r="R197" i="1"/>
  <c r="R196" i="1"/>
  <c r="R184" i="1"/>
  <c r="R183" i="1" s="1"/>
  <c r="R140" i="1"/>
  <c r="O368" i="1"/>
  <c r="O367" i="1" s="1"/>
  <c r="N368" i="1"/>
  <c r="N367" i="1" s="1"/>
  <c r="M368" i="1"/>
  <c r="K368" i="1"/>
  <c r="K367" i="1" s="1"/>
  <c r="I368" i="1"/>
  <c r="I367" i="1" s="1"/>
  <c r="H368" i="1"/>
  <c r="H367" i="1" s="1"/>
  <c r="G368" i="1"/>
  <c r="G367" i="1" s="1"/>
  <c r="F368" i="1"/>
  <c r="F367" i="1" s="1"/>
  <c r="E368" i="1"/>
  <c r="E367" i="1" s="1"/>
  <c r="D368" i="1"/>
  <c r="D367" i="1" s="1"/>
  <c r="M367" i="1"/>
  <c r="O345" i="1"/>
  <c r="N345" i="1"/>
  <c r="M345" i="1"/>
  <c r="K345" i="1"/>
  <c r="I345" i="1"/>
  <c r="H345" i="1"/>
  <c r="G345" i="1"/>
  <c r="F345" i="1"/>
  <c r="E345" i="1"/>
  <c r="D345" i="1"/>
  <c r="O331" i="1"/>
  <c r="N331" i="1"/>
  <c r="M331" i="1"/>
  <c r="K331" i="1"/>
  <c r="I331" i="1"/>
  <c r="H331" i="1"/>
  <c r="G331" i="1"/>
  <c r="F331" i="1"/>
  <c r="E331" i="1"/>
  <c r="D331" i="1"/>
  <c r="O320" i="1"/>
  <c r="N320" i="1"/>
  <c r="M320" i="1"/>
  <c r="K320" i="1"/>
  <c r="I320" i="1"/>
  <c r="H320" i="1"/>
  <c r="G320" i="1"/>
  <c r="F320" i="1"/>
  <c r="E320" i="1"/>
  <c r="D320" i="1"/>
  <c r="O308" i="1"/>
  <c r="N308" i="1"/>
  <c r="M308" i="1"/>
  <c r="K308" i="1"/>
  <c r="I308" i="1"/>
  <c r="H308" i="1"/>
  <c r="G308" i="1"/>
  <c r="F308" i="1"/>
  <c r="E308" i="1"/>
  <c r="D308" i="1"/>
  <c r="D292" i="1" s="1"/>
  <c r="O293" i="1"/>
  <c r="N293" i="1"/>
  <c r="M293" i="1"/>
  <c r="K293" i="1"/>
  <c r="I293" i="1"/>
  <c r="H293" i="1"/>
  <c r="G293" i="1"/>
  <c r="F293" i="1"/>
  <c r="E293" i="1"/>
  <c r="O223" i="1"/>
  <c r="N223" i="1"/>
  <c r="M223" i="1"/>
  <c r="K223" i="1"/>
  <c r="I223" i="1"/>
  <c r="H223" i="1"/>
  <c r="G223" i="1"/>
  <c r="F223" i="1"/>
  <c r="E223" i="1"/>
  <c r="O217" i="1"/>
  <c r="N217" i="1"/>
  <c r="M217" i="1"/>
  <c r="K217" i="1"/>
  <c r="I217" i="1"/>
  <c r="H217" i="1"/>
  <c r="G217" i="1"/>
  <c r="F217" i="1"/>
  <c r="E217" i="1"/>
  <c r="D217" i="1"/>
  <c r="O214" i="1"/>
  <c r="N214" i="1"/>
  <c r="M214" i="1"/>
  <c r="K214" i="1"/>
  <c r="I214" i="1"/>
  <c r="H214" i="1"/>
  <c r="G214" i="1"/>
  <c r="F214" i="1"/>
  <c r="E214" i="1"/>
  <c r="D214" i="1"/>
  <c r="O210" i="1"/>
  <c r="N210" i="1"/>
  <c r="M210" i="1"/>
  <c r="K210" i="1"/>
  <c r="I210" i="1"/>
  <c r="H210" i="1"/>
  <c r="G210" i="1"/>
  <c r="F210" i="1"/>
  <c r="E210" i="1"/>
  <c r="D210" i="1"/>
  <c r="O208" i="1"/>
  <c r="N208" i="1"/>
  <c r="M208" i="1"/>
  <c r="K208" i="1"/>
  <c r="I208" i="1"/>
  <c r="H208" i="1"/>
  <c r="G208" i="1"/>
  <c r="F208" i="1"/>
  <c r="E208" i="1"/>
  <c r="D208" i="1"/>
  <c r="O204" i="1"/>
  <c r="N204" i="1"/>
  <c r="M204" i="1"/>
  <c r="K204" i="1"/>
  <c r="I204" i="1"/>
  <c r="H204" i="1"/>
  <c r="G204" i="1"/>
  <c r="F204" i="1"/>
  <c r="E204" i="1"/>
  <c r="D204" i="1"/>
  <c r="O201" i="1"/>
  <c r="N201" i="1"/>
  <c r="M201" i="1"/>
  <c r="K201" i="1"/>
  <c r="I201" i="1"/>
  <c r="H201" i="1"/>
  <c r="G201" i="1"/>
  <c r="F201" i="1"/>
  <c r="E201" i="1"/>
  <c r="O198" i="1"/>
  <c r="N198" i="1"/>
  <c r="M198" i="1"/>
  <c r="K198" i="1"/>
  <c r="I198" i="1"/>
  <c r="H198" i="1"/>
  <c r="G198" i="1"/>
  <c r="F198" i="1"/>
  <c r="E198" i="1"/>
  <c r="O195" i="1"/>
  <c r="N195" i="1"/>
  <c r="M195" i="1"/>
  <c r="K195" i="1"/>
  <c r="I195" i="1"/>
  <c r="H195" i="1"/>
  <c r="G195" i="1"/>
  <c r="F195" i="1"/>
  <c r="E195" i="1"/>
  <c r="O191" i="1"/>
  <c r="N191" i="1"/>
  <c r="M191" i="1"/>
  <c r="K191" i="1"/>
  <c r="I191" i="1"/>
  <c r="H191" i="1"/>
  <c r="G191" i="1"/>
  <c r="F191" i="1"/>
  <c r="E191" i="1"/>
  <c r="O188" i="1"/>
  <c r="N188" i="1"/>
  <c r="M188" i="1"/>
  <c r="K188" i="1"/>
  <c r="I188" i="1"/>
  <c r="H188" i="1"/>
  <c r="G188" i="1"/>
  <c r="F188" i="1"/>
  <c r="E188" i="1"/>
  <c r="O185" i="1"/>
  <c r="N185" i="1"/>
  <c r="M185" i="1"/>
  <c r="K185" i="1"/>
  <c r="I185" i="1"/>
  <c r="H185" i="1"/>
  <c r="G185" i="1"/>
  <c r="F185" i="1"/>
  <c r="E185" i="1"/>
  <c r="O183" i="1"/>
  <c r="N183" i="1"/>
  <c r="M183" i="1"/>
  <c r="K183" i="1"/>
  <c r="I183" i="1"/>
  <c r="H183" i="1"/>
  <c r="G183" i="1"/>
  <c r="F183" i="1"/>
  <c r="E183" i="1"/>
  <c r="O175" i="1"/>
  <c r="N175" i="1"/>
  <c r="M175" i="1"/>
  <c r="K175" i="1"/>
  <c r="I175" i="1"/>
  <c r="H175" i="1"/>
  <c r="G175" i="1"/>
  <c r="F175" i="1"/>
  <c r="E175" i="1"/>
  <c r="O173" i="1"/>
  <c r="N173" i="1"/>
  <c r="M173" i="1"/>
  <c r="K173" i="1"/>
  <c r="I173" i="1"/>
  <c r="H173" i="1"/>
  <c r="G173" i="1"/>
  <c r="F173" i="1"/>
  <c r="E173" i="1"/>
  <c r="O169" i="1"/>
  <c r="N169" i="1"/>
  <c r="M169" i="1"/>
  <c r="K169" i="1"/>
  <c r="I169" i="1"/>
  <c r="H169" i="1"/>
  <c r="G169" i="1"/>
  <c r="F169" i="1"/>
  <c r="E169" i="1"/>
  <c r="O141" i="1"/>
  <c r="O139" i="1" s="1"/>
  <c r="O135" i="1" s="1"/>
  <c r="N141" i="1"/>
  <c r="N139" i="1" s="1"/>
  <c r="N135" i="1" s="1"/>
  <c r="M141" i="1"/>
  <c r="M139" i="1" s="1"/>
  <c r="M135" i="1" s="1"/>
  <c r="K141" i="1"/>
  <c r="K139" i="1" s="1"/>
  <c r="I141" i="1"/>
  <c r="I139" i="1" s="1"/>
  <c r="I135" i="1" s="1"/>
  <c r="H141" i="1"/>
  <c r="H139" i="1" s="1"/>
  <c r="H135" i="1" s="1"/>
  <c r="G141" i="1"/>
  <c r="G139" i="1" s="1"/>
  <c r="G135" i="1" s="1"/>
  <c r="F141" i="1"/>
  <c r="F139" i="1" s="1"/>
  <c r="F135" i="1" s="1"/>
  <c r="E141" i="1"/>
  <c r="E139" i="1" s="1"/>
  <c r="E135" i="1" s="1"/>
  <c r="D139" i="1"/>
  <c r="D135" i="1" s="1"/>
  <c r="O131" i="1"/>
  <c r="N131" i="1"/>
  <c r="M131" i="1"/>
  <c r="K131" i="1"/>
  <c r="I131" i="1"/>
  <c r="H131" i="1"/>
  <c r="G131" i="1"/>
  <c r="F131" i="1"/>
  <c r="E131" i="1"/>
  <c r="O125" i="1"/>
  <c r="N125" i="1"/>
  <c r="M125" i="1"/>
  <c r="K125" i="1"/>
  <c r="I125" i="1"/>
  <c r="H125" i="1"/>
  <c r="G125" i="1"/>
  <c r="F125" i="1"/>
  <c r="E125" i="1"/>
  <c r="O105" i="1"/>
  <c r="N105" i="1"/>
  <c r="M105" i="1"/>
  <c r="K105" i="1"/>
  <c r="I105" i="1"/>
  <c r="H105" i="1"/>
  <c r="G105" i="1"/>
  <c r="F105" i="1"/>
  <c r="E105" i="1"/>
  <c r="O100" i="1"/>
  <c r="O99" i="1" s="1"/>
  <c r="N100" i="1"/>
  <c r="N99" i="1" s="1"/>
  <c r="M100" i="1"/>
  <c r="M99" i="1" s="1"/>
  <c r="K100" i="1"/>
  <c r="K99" i="1" s="1"/>
  <c r="I100" i="1"/>
  <c r="I99" i="1" s="1"/>
  <c r="H100" i="1"/>
  <c r="H99" i="1" s="1"/>
  <c r="G100" i="1"/>
  <c r="G99" i="1" s="1"/>
  <c r="F100" i="1"/>
  <c r="F99" i="1" s="1"/>
  <c r="E100" i="1"/>
  <c r="E99" i="1" s="1"/>
  <c r="O97" i="1"/>
  <c r="N97" i="1"/>
  <c r="M97" i="1"/>
  <c r="K97" i="1"/>
  <c r="I97" i="1"/>
  <c r="H97" i="1"/>
  <c r="G97" i="1"/>
  <c r="F97" i="1"/>
  <c r="E97" i="1"/>
  <c r="D97" i="1"/>
  <c r="O91" i="1"/>
  <c r="N91" i="1"/>
  <c r="M91" i="1"/>
  <c r="K91" i="1"/>
  <c r="I91" i="1"/>
  <c r="H91" i="1"/>
  <c r="G91" i="1"/>
  <c r="F91" i="1"/>
  <c r="E91" i="1"/>
  <c r="O87" i="1"/>
  <c r="N87" i="1"/>
  <c r="M87" i="1"/>
  <c r="K87" i="1"/>
  <c r="I87" i="1"/>
  <c r="H87" i="1"/>
  <c r="G87" i="1"/>
  <c r="F87" i="1"/>
  <c r="E87" i="1"/>
  <c r="O84" i="1"/>
  <c r="N84" i="1"/>
  <c r="M84" i="1"/>
  <c r="K84" i="1"/>
  <c r="I84" i="1"/>
  <c r="H84" i="1"/>
  <c r="G84" i="1"/>
  <c r="F84" i="1"/>
  <c r="E84" i="1"/>
  <c r="O76" i="1"/>
  <c r="N76" i="1"/>
  <c r="M76" i="1"/>
  <c r="M74" i="1" s="1"/>
  <c r="K76" i="1"/>
  <c r="I76" i="1"/>
  <c r="H76" i="1"/>
  <c r="G76" i="1"/>
  <c r="F76" i="1"/>
  <c r="E76" i="1"/>
  <c r="O69" i="1"/>
  <c r="N69" i="1"/>
  <c r="M69" i="1"/>
  <c r="K69" i="1"/>
  <c r="I69" i="1"/>
  <c r="H69" i="1"/>
  <c r="G69" i="1"/>
  <c r="F69" i="1"/>
  <c r="E69" i="1"/>
  <c r="O65" i="1"/>
  <c r="N65" i="1"/>
  <c r="M65" i="1"/>
  <c r="K65" i="1"/>
  <c r="I65" i="1"/>
  <c r="H65" i="1"/>
  <c r="G65" i="1"/>
  <c r="F65" i="1"/>
  <c r="E65" i="1"/>
  <c r="O62" i="1"/>
  <c r="N62" i="1"/>
  <c r="M62" i="1"/>
  <c r="K62" i="1"/>
  <c r="I62" i="1"/>
  <c r="H62" i="1"/>
  <c r="G62" i="1"/>
  <c r="F62" i="1"/>
  <c r="E62" i="1"/>
  <c r="O56" i="1"/>
  <c r="N56" i="1"/>
  <c r="M56" i="1"/>
  <c r="K56" i="1"/>
  <c r="I56" i="1"/>
  <c r="H56" i="1"/>
  <c r="G56" i="1"/>
  <c r="F56" i="1"/>
  <c r="E56" i="1"/>
  <c r="O50" i="1"/>
  <c r="N50" i="1"/>
  <c r="M50" i="1"/>
  <c r="K50" i="1"/>
  <c r="I50" i="1"/>
  <c r="H50" i="1"/>
  <c r="G50" i="1"/>
  <c r="F50" i="1"/>
  <c r="E50" i="1"/>
  <c r="O45" i="1"/>
  <c r="N45" i="1"/>
  <c r="M45" i="1"/>
  <c r="K45" i="1"/>
  <c r="I45" i="1"/>
  <c r="H45" i="1"/>
  <c r="G45" i="1"/>
  <c r="F45" i="1"/>
  <c r="E45" i="1"/>
  <c r="D45" i="1"/>
  <c r="O43" i="1"/>
  <c r="N43" i="1"/>
  <c r="M43" i="1"/>
  <c r="K43" i="1"/>
  <c r="I43" i="1"/>
  <c r="H43" i="1"/>
  <c r="G43" i="1"/>
  <c r="F43" i="1"/>
  <c r="E43" i="1"/>
  <c r="D43" i="1"/>
  <c r="O40" i="1"/>
  <c r="N40" i="1"/>
  <c r="M40" i="1"/>
  <c r="K40" i="1"/>
  <c r="I40" i="1"/>
  <c r="H40" i="1"/>
  <c r="G40" i="1"/>
  <c r="F40" i="1"/>
  <c r="E40" i="1"/>
  <c r="O36" i="1"/>
  <c r="N36" i="1"/>
  <c r="M36" i="1"/>
  <c r="K36" i="1"/>
  <c r="I36" i="1"/>
  <c r="H36" i="1"/>
  <c r="G36" i="1"/>
  <c r="F36" i="1"/>
  <c r="E36" i="1"/>
  <c r="D36" i="1"/>
  <c r="O32" i="1"/>
  <c r="N32" i="1"/>
  <c r="M32" i="1"/>
  <c r="K32" i="1"/>
  <c r="I32" i="1"/>
  <c r="H32" i="1"/>
  <c r="G32" i="1"/>
  <c r="F32" i="1"/>
  <c r="E32" i="1"/>
  <c r="O28" i="1"/>
  <c r="N28" i="1"/>
  <c r="M28" i="1"/>
  <c r="K28" i="1"/>
  <c r="I28" i="1"/>
  <c r="H28" i="1"/>
  <c r="G28" i="1"/>
  <c r="F28" i="1"/>
  <c r="E28" i="1"/>
  <c r="O26" i="1"/>
  <c r="N26" i="1"/>
  <c r="M26" i="1"/>
  <c r="K26" i="1"/>
  <c r="I26" i="1"/>
  <c r="H26" i="1"/>
  <c r="G26" i="1"/>
  <c r="F26" i="1"/>
  <c r="E26" i="1"/>
  <c r="O23" i="1"/>
  <c r="N23" i="1"/>
  <c r="M23" i="1"/>
  <c r="K23" i="1"/>
  <c r="I23" i="1"/>
  <c r="H23" i="1"/>
  <c r="G23" i="1"/>
  <c r="F23" i="1"/>
  <c r="E23" i="1"/>
  <c r="O21" i="1"/>
  <c r="N21" i="1"/>
  <c r="M21" i="1"/>
  <c r="K21" i="1"/>
  <c r="I21" i="1"/>
  <c r="H21" i="1"/>
  <c r="G21" i="1"/>
  <c r="F21" i="1"/>
  <c r="E21" i="1"/>
  <c r="O10" i="1"/>
  <c r="N10" i="1"/>
  <c r="M10" i="1"/>
  <c r="K10" i="1"/>
  <c r="I10" i="1"/>
  <c r="H10" i="1"/>
  <c r="G10" i="1"/>
  <c r="F10" i="1"/>
  <c r="E10" i="1"/>
  <c r="Q8" i="1"/>
  <c r="Q9" i="1"/>
  <c r="Q11" i="1"/>
  <c r="Q12" i="1"/>
  <c r="Q13" i="1"/>
  <c r="Q14" i="1"/>
  <c r="Q15" i="1"/>
  <c r="Q16" i="1"/>
  <c r="Q17" i="1"/>
  <c r="Q18" i="1"/>
  <c r="Q19" i="1"/>
  <c r="Q20" i="1"/>
  <c r="Q22" i="1"/>
  <c r="Q21" i="1" s="1"/>
  <c r="Q24" i="1"/>
  <c r="Q25" i="1"/>
  <c r="Q27" i="1"/>
  <c r="Q26" i="1" s="1"/>
  <c r="Q29" i="1"/>
  <c r="Q30" i="1"/>
  <c r="Q31" i="1"/>
  <c r="Q33" i="1"/>
  <c r="Q34" i="1"/>
  <c r="Q37" i="1"/>
  <c r="Q38" i="1"/>
  <c r="Q39" i="1"/>
  <c r="Q41" i="1"/>
  <c r="Q42" i="1"/>
  <c r="Q44" i="1"/>
  <c r="Q43" i="1" s="1"/>
  <c r="Q46" i="1"/>
  <c r="Q47" i="1"/>
  <c r="Q48" i="1"/>
  <c r="Q49" i="1"/>
  <c r="Q51" i="1"/>
  <c r="Q52" i="1"/>
  <c r="Q53" i="1"/>
  <c r="Q54" i="1"/>
  <c r="Q55" i="1"/>
  <c r="Q57" i="1"/>
  <c r="Q58" i="1"/>
  <c r="Q59" i="1"/>
  <c r="Q60" i="1"/>
  <c r="Q61" i="1"/>
  <c r="Q63" i="1"/>
  <c r="Q64" i="1"/>
  <c r="Q66" i="1"/>
  <c r="Q67" i="1"/>
  <c r="Q68" i="1"/>
  <c r="Q70" i="1"/>
  <c r="Q71" i="1"/>
  <c r="Q72" i="1"/>
  <c r="Q73" i="1"/>
  <c r="Q75" i="1"/>
  <c r="Q77" i="1"/>
  <c r="Q78" i="1"/>
  <c r="Q79" i="1"/>
  <c r="Q80" i="1"/>
  <c r="Q81" i="1"/>
  <c r="Q82" i="1"/>
  <c r="Q83" i="1"/>
  <c r="Q85" i="1"/>
  <c r="Q84" i="1" s="1"/>
  <c r="Q86" i="1"/>
  <c r="Q88" i="1"/>
  <c r="Q89" i="1"/>
  <c r="Q90" i="1"/>
  <c r="Q92" i="1"/>
  <c r="Q93" i="1"/>
  <c r="Q94" i="1"/>
  <c r="Q95" i="1"/>
  <c r="Q96" i="1"/>
  <c r="Q98" i="1"/>
  <c r="Q97" i="1" s="1"/>
  <c r="Q101" i="1"/>
  <c r="Q102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Q126" i="1"/>
  <c r="Q127" i="1"/>
  <c r="Q128" i="1"/>
  <c r="Q129" i="1"/>
  <c r="Q130" i="1"/>
  <c r="Q132" i="1"/>
  <c r="Q133" i="1"/>
  <c r="Q134" i="1"/>
  <c r="Q136" i="1"/>
  <c r="Q137" i="1"/>
  <c r="Q138" i="1"/>
  <c r="Q140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Q156" i="1"/>
  <c r="Q157" i="1"/>
  <c r="Q158" i="1"/>
  <c r="Q159" i="1"/>
  <c r="Q160" i="1"/>
  <c r="Q161" i="1"/>
  <c r="Q162" i="1"/>
  <c r="Q163" i="1"/>
  <c r="Q164" i="1"/>
  <c r="Q165" i="1"/>
  <c r="Q166" i="1"/>
  <c r="Q167" i="1"/>
  <c r="Q170" i="1"/>
  <c r="Q171" i="1"/>
  <c r="Q172" i="1"/>
  <c r="Q174" i="1"/>
  <c r="Q173" i="1" s="1"/>
  <c r="Q176" i="1"/>
  <c r="Q177" i="1"/>
  <c r="Q178" i="1"/>
  <c r="Q179" i="1"/>
  <c r="Q180" i="1"/>
  <c r="Q181" i="1"/>
  <c r="Q182" i="1"/>
  <c r="Q184" i="1"/>
  <c r="Q183" i="1" s="1"/>
  <c r="Q186" i="1"/>
  <c r="Q187" i="1"/>
  <c r="Q189" i="1"/>
  <c r="Q190" i="1"/>
  <c r="Q192" i="1"/>
  <c r="Q193" i="1"/>
  <c r="Q194" i="1"/>
  <c r="Q196" i="1"/>
  <c r="Q197" i="1"/>
  <c r="Q199" i="1"/>
  <c r="Q200" i="1"/>
  <c r="Q202" i="1"/>
  <c r="Q201" i="1" s="1"/>
  <c r="Q205" i="1"/>
  <c r="Q206" i="1"/>
  <c r="Q207" i="1"/>
  <c r="Q209" i="1"/>
  <c r="Q208" i="1" s="1"/>
  <c r="Q211" i="1"/>
  <c r="Q212" i="1"/>
  <c r="Q213" i="1"/>
  <c r="Q215" i="1"/>
  <c r="Q216" i="1"/>
  <c r="Q218" i="1"/>
  <c r="Q219" i="1"/>
  <c r="Q220" i="1"/>
  <c r="Q221" i="1"/>
  <c r="Q222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Q251" i="1"/>
  <c r="Q252" i="1"/>
  <c r="Q253" i="1"/>
  <c r="Q254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Q283" i="1"/>
  <c r="Q284" i="1"/>
  <c r="Q285" i="1"/>
  <c r="Q286" i="1"/>
  <c r="Q287" i="1"/>
  <c r="Q288" i="1"/>
  <c r="Q289" i="1"/>
  <c r="Q290" i="1"/>
  <c r="Q291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Q307" i="1"/>
  <c r="Q309" i="1"/>
  <c r="Q310" i="1"/>
  <c r="Q311" i="1"/>
  <c r="Q312" i="1"/>
  <c r="Q313" i="1"/>
  <c r="Q314" i="1"/>
  <c r="Q315" i="1"/>
  <c r="Q316" i="1"/>
  <c r="Q317" i="1"/>
  <c r="Q321" i="1"/>
  <c r="Q322" i="1"/>
  <c r="Q323" i="1"/>
  <c r="Q324" i="1"/>
  <c r="Q325" i="1"/>
  <c r="Q326" i="1"/>
  <c r="Q327" i="1"/>
  <c r="Q328" i="1"/>
  <c r="Q329" i="1"/>
  <c r="Q330" i="1"/>
  <c r="Q332" i="1"/>
  <c r="Q333" i="1"/>
  <c r="Q334" i="1"/>
  <c r="Q335" i="1"/>
  <c r="Q336" i="1"/>
  <c r="Q337" i="1"/>
  <c r="Q338" i="1"/>
  <c r="Q339" i="1"/>
  <c r="Q340" i="1"/>
  <c r="Q341" i="1"/>
  <c r="Q342" i="1"/>
  <c r="Q343" i="1"/>
  <c r="Q344" i="1"/>
  <c r="Q346" i="1"/>
  <c r="Q347" i="1"/>
  <c r="Q348" i="1"/>
  <c r="Q349" i="1"/>
  <c r="Q350" i="1"/>
  <c r="Q351" i="1"/>
  <c r="Q352" i="1"/>
  <c r="Q353" i="1"/>
  <c r="Q354" i="1"/>
  <c r="Q355" i="1"/>
  <c r="Q356" i="1"/>
  <c r="Q357" i="1"/>
  <c r="Q358" i="1"/>
  <c r="Q359" i="1"/>
  <c r="Q360" i="1"/>
  <c r="Q361" i="1"/>
  <c r="Q362" i="1"/>
  <c r="Q363" i="1"/>
  <c r="Q364" i="1"/>
  <c r="Q365" i="1"/>
  <c r="Q366" i="1"/>
  <c r="Q369" i="1"/>
  <c r="Q370" i="1"/>
  <c r="Q371" i="1"/>
  <c r="Q372" i="1"/>
  <c r="K74" i="1" l="1"/>
  <c r="N74" i="1"/>
  <c r="E74" i="1"/>
  <c r="I74" i="1"/>
  <c r="E168" i="1"/>
  <c r="O168" i="1"/>
  <c r="O74" i="1"/>
  <c r="F168" i="1"/>
  <c r="G168" i="1"/>
  <c r="H168" i="1"/>
  <c r="I168" i="1"/>
  <c r="M168" i="1"/>
  <c r="F74" i="1"/>
  <c r="K168" i="1"/>
  <c r="G74" i="1"/>
  <c r="H74" i="1"/>
  <c r="N168" i="1"/>
  <c r="D203" i="1"/>
  <c r="K135" i="1"/>
  <c r="E380" i="1"/>
  <c r="D35" i="1"/>
  <c r="D7" i="1" s="1"/>
  <c r="D6" i="1" s="1"/>
  <c r="R62" i="1"/>
  <c r="R50" i="1"/>
  <c r="R201" i="1"/>
  <c r="G292" i="1"/>
  <c r="R28" i="1"/>
  <c r="R368" i="1"/>
  <c r="R367" i="1" s="1"/>
  <c r="R185" i="1"/>
  <c r="Q198" i="1"/>
  <c r="N292" i="1"/>
  <c r="K292" i="1"/>
  <c r="R23" i="1"/>
  <c r="R36" i="1"/>
  <c r="E292" i="1"/>
  <c r="Q217" i="1"/>
  <c r="Q131" i="1"/>
  <c r="F292" i="1"/>
  <c r="E319" i="1"/>
  <c r="E318" i="1" s="1"/>
  <c r="R40" i="1"/>
  <c r="M292" i="1"/>
  <c r="I292" i="1"/>
  <c r="R76" i="1"/>
  <c r="Q345" i="1"/>
  <c r="Q308" i="1"/>
  <c r="Q204" i="1"/>
  <c r="R195" i="1"/>
  <c r="R45" i="1"/>
  <c r="R87" i="1"/>
  <c r="R105" i="1"/>
  <c r="R141" i="1"/>
  <c r="R188" i="1"/>
  <c r="R204" i="1"/>
  <c r="R217" i="1"/>
  <c r="R308" i="1"/>
  <c r="Q214" i="1"/>
  <c r="O292" i="1"/>
  <c r="R69" i="1"/>
  <c r="R191" i="1"/>
  <c r="Q368" i="1"/>
  <c r="Q367" i="1" s="1"/>
  <c r="Q331" i="1"/>
  <c r="Q210" i="1"/>
  <c r="Q188" i="1"/>
  <c r="N319" i="1"/>
  <c r="N318" i="1" s="1"/>
  <c r="R169" i="1"/>
  <c r="Q175" i="1"/>
  <c r="Q185" i="1"/>
  <c r="F319" i="1"/>
  <c r="F318" i="1" s="1"/>
  <c r="Q195" i="1"/>
  <c r="R10" i="1"/>
  <c r="R198" i="1"/>
  <c r="Q293" i="1"/>
  <c r="R65" i="1"/>
  <c r="K203" i="1"/>
  <c r="H380" i="1" s="1"/>
  <c r="R56" i="1"/>
  <c r="R214" i="1"/>
  <c r="R331" i="1"/>
  <c r="R293" i="1"/>
  <c r="Q320" i="1"/>
  <c r="F203" i="1"/>
  <c r="Q191" i="1"/>
  <c r="Q169" i="1"/>
  <c r="E203" i="1"/>
  <c r="M203" i="1"/>
  <c r="R131" i="1"/>
  <c r="R210" i="1"/>
  <c r="R100" i="1"/>
  <c r="R99" i="1" s="1"/>
  <c r="Q223" i="1"/>
  <c r="N203" i="1"/>
  <c r="I319" i="1"/>
  <c r="I318" i="1" s="1"/>
  <c r="R175" i="1"/>
  <c r="R345" i="1"/>
  <c r="M319" i="1"/>
  <c r="M318" i="1" s="1"/>
  <c r="R320" i="1"/>
  <c r="R223" i="1"/>
  <c r="Q141" i="1"/>
  <c r="Q139" i="1" s="1"/>
  <c r="Q135" i="1" s="1"/>
  <c r="Q125" i="1"/>
  <c r="R125" i="1"/>
  <c r="Q105" i="1"/>
  <c r="R91" i="1"/>
  <c r="R32" i="1"/>
  <c r="G319" i="1"/>
  <c r="G318" i="1" s="1"/>
  <c r="O319" i="1"/>
  <c r="O318" i="1" s="1"/>
  <c r="H319" i="1"/>
  <c r="H318" i="1" s="1"/>
  <c r="K319" i="1"/>
  <c r="K318" i="1" s="1"/>
  <c r="D319" i="1"/>
  <c r="D318" i="1" s="1"/>
  <c r="H292" i="1"/>
  <c r="G203" i="1"/>
  <c r="O203" i="1"/>
  <c r="I203" i="1"/>
  <c r="H203" i="1"/>
  <c r="Q69" i="1"/>
  <c r="Q76" i="1"/>
  <c r="Q91" i="1"/>
  <c r="Q87" i="1"/>
  <c r="Q56" i="1"/>
  <c r="Q65" i="1"/>
  <c r="Q45" i="1"/>
  <c r="Q62" i="1"/>
  <c r="Q50" i="1"/>
  <c r="K35" i="1"/>
  <c r="K7" i="1" s="1"/>
  <c r="K6" i="1" s="1"/>
  <c r="Q100" i="1"/>
  <c r="Q99" i="1" s="1"/>
  <c r="M35" i="1"/>
  <c r="M7" i="1" s="1"/>
  <c r="N35" i="1"/>
  <c r="N7" i="1" s="1"/>
  <c r="G35" i="1"/>
  <c r="G7" i="1" s="1"/>
  <c r="Q36" i="1"/>
  <c r="Q32" i="1"/>
  <c r="Q10" i="1"/>
  <c r="Q23" i="1"/>
  <c r="H35" i="1"/>
  <c r="H7" i="1" s="1"/>
  <c r="Q40" i="1"/>
  <c r="Q28" i="1"/>
  <c r="E35" i="1"/>
  <c r="E7" i="1" s="1"/>
  <c r="F35" i="1"/>
  <c r="F7" i="1" s="1"/>
  <c r="O35" i="1"/>
  <c r="O7" i="1" s="1"/>
  <c r="I35" i="1"/>
  <c r="I7" i="1" s="1"/>
  <c r="R74" i="1" l="1"/>
  <c r="Q74" i="1"/>
  <c r="R168" i="1"/>
  <c r="Q168" i="1"/>
  <c r="D104" i="1"/>
  <c r="H104" i="1"/>
  <c r="H103" i="1" s="1"/>
  <c r="R139" i="1"/>
  <c r="R135" i="1" s="1"/>
  <c r="N104" i="1"/>
  <c r="N103" i="1" s="1"/>
  <c r="R292" i="1"/>
  <c r="M6" i="1"/>
  <c r="K104" i="1"/>
  <c r="K103" i="1" s="1"/>
  <c r="K5" i="1" s="1"/>
  <c r="F104" i="1"/>
  <c r="F103" i="1" s="1"/>
  <c r="R35" i="1"/>
  <c r="R7" i="1" s="1"/>
  <c r="Q203" i="1"/>
  <c r="Q292" i="1"/>
  <c r="Q319" i="1"/>
  <c r="Q318" i="1" s="1"/>
  <c r="E104" i="1"/>
  <c r="E103" i="1" s="1"/>
  <c r="R203" i="1"/>
  <c r="B380" i="1"/>
  <c r="M104" i="1"/>
  <c r="M103" i="1" s="1"/>
  <c r="R319" i="1"/>
  <c r="R318" i="1" s="1"/>
  <c r="G104" i="1"/>
  <c r="G103" i="1" s="1"/>
  <c r="O104" i="1"/>
  <c r="O103" i="1" s="1"/>
  <c r="I104" i="1"/>
  <c r="I103" i="1" s="1"/>
  <c r="E6" i="1"/>
  <c r="Q35" i="1"/>
  <c r="Q7" i="1" s="1"/>
  <c r="F6" i="1"/>
  <c r="N6" i="1"/>
  <c r="O6" i="1"/>
  <c r="I6" i="1"/>
  <c r="G6" i="1"/>
  <c r="H6" i="1"/>
  <c r="D103" i="1" l="1"/>
  <c r="H5" i="1"/>
  <c r="F5" i="1"/>
  <c r="Q104" i="1"/>
  <c r="Q103" i="1" s="1"/>
  <c r="N5" i="1"/>
  <c r="M5" i="1"/>
  <c r="R104" i="1"/>
  <c r="R103" i="1" s="1"/>
  <c r="E5" i="1"/>
  <c r="G5" i="1"/>
  <c r="R6" i="1"/>
  <c r="Q6" i="1"/>
  <c r="O5" i="1"/>
  <c r="S5" i="1" s="1"/>
  <c r="I5" i="1"/>
  <c r="D5" i="1" l="1"/>
  <c r="Q5" i="1"/>
  <c r="R5" i="1"/>
  <c r="C127" i="3" l="1"/>
  <c r="C131" i="3" s="1"/>
  <c r="C136" i="3" l="1"/>
  <c r="C135" i="3" s="1"/>
  <c r="C134" i="3" s="1"/>
  <c r="C138" i="3"/>
  <c r="P267" i="1"/>
  <c r="P254" i="1"/>
  <c r="P123" i="1"/>
  <c r="P179" i="1"/>
  <c r="P339" i="1"/>
  <c r="P284" i="1"/>
  <c r="P96" i="1"/>
  <c r="P360" i="1"/>
  <c r="P242" i="1"/>
  <c r="P261" i="1"/>
  <c r="P270" i="1"/>
  <c r="P305" i="1"/>
  <c r="P277" i="1"/>
  <c r="P342" i="1"/>
  <c r="P60" i="1"/>
  <c r="P370" i="1"/>
  <c r="P49" i="1"/>
  <c r="P316" i="1"/>
  <c r="P220" i="1"/>
  <c r="P241" i="1"/>
  <c r="P341" i="1"/>
  <c r="P107" i="1"/>
  <c r="P288" i="1"/>
  <c r="P246" i="1"/>
  <c r="P111" i="1"/>
  <c r="P313" i="1"/>
  <c r="P177" i="1"/>
  <c r="P352" i="1"/>
  <c r="P83" i="1"/>
  <c r="P364" i="1"/>
  <c r="P229" i="1"/>
  <c r="P81" i="1"/>
  <c r="P17" i="1"/>
  <c r="P157" i="1"/>
  <c r="P42" i="1"/>
  <c r="P312" i="1"/>
  <c r="P152" i="1"/>
  <c r="P231" i="1"/>
  <c r="P327" i="1"/>
  <c r="P282" i="1"/>
  <c r="P143" i="1"/>
  <c r="P206" i="1"/>
  <c r="P358" i="1"/>
  <c r="P353" i="1"/>
  <c r="P245" i="1"/>
  <c r="P365" i="1"/>
  <c r="P228" i="1"/>
  <c r="P230" i="1"/>
  <c r="P238" i="1"/>
  <c r="P263" i="1"/>
  <c r="P372" i="1"/>
  <c r="P90" i="1"/>
  <c r="P12" i="1"/>
  <c r="P121" i="1"/>
  <c r="P190" i="1"/>
  <c r="P363" i="1"/>
  <c r="P200" i="1"/>
  <c r="P72" i="1"/>
  <c r="P160" i="1"/>
  <c r="P93" i="1"/>
  <c r="P302" i="1"/>
  <c r="P336" i="1"/>
  <c r="P89" i="1"/>
  <c r="P357" i="1"/>
  <c r="P108" i="1"/>
  <c r="P226" i="1"/>
  <c r="P86" i="1"/>
  <c r="P236" i="1"/>
  <c r="P219" i="1"/>
  <c r="P178" i="1"/>
  <c r="P295" i="1"/>
  <c r="P233" i="1"/>
  <c r="P264" i="1"/>
  <c r="P193" i="1"/>
  <c r="P182" i="1"/>
  <c r="P151" i="1"/>
  <c r="P262" i="1"/>
  <c r="P371" i="1"/>
  <c r="P317" i="1"/>
  <c r="P349" i="1"/>
  <c r="J198" i="1"/>
  <c r="L198" i="1" s="1"/>
  <c r="P147" i="1"/>
  <c r="P180" i="1"/>
  <c r="P19" i="1"/>
  <c r="P64" i="1"/>
  <c r="J208" i="1"/>
  <c r="L208" i="1" s="1"/>
  <c r="P164" i="1"/>
  <c r="P333" i="1"/>
  <c r="P265" i="1"/>
  <c r="P137" i="1"/>
  <c r="P286" i="1"/>
  <c r="P9" i="1"/>
  <c r="J173" i="1"/>
  <c r="L173" i="1" s="1"/>
  <c r="P289" i="1"/>
  <c r="P274" i="1"/>
  <c r="P48" i="1"/>
  <c r="J183" i="1"/>
  <c r="L183" i="1" s="1"/>
  <c r="J214" i="1"/>
  <c r="L214" i="1" s="1"/>
  <c r="P240" i="1"/>
  <c r="P301" i="1"/>
  <c r="P307" i="1"/>
  <c r="P330" i="1"/>
  <c r="P153" i="1"/>
  <c r="P299" i="1"/>
  <c r="P361" i="1"/>
  <c r="P280" i="1"/>
  <c r="P30" i="1"/>
  <c r="P329" i="1"/>
  <c r="J76" i="1"/>
  <c r="P38" i="1"/>
  <c r="P248" i="1"/>
  <c r="P334" i="1"/>
  <c r="P323" i="1"/>
  <c r="P119" i="1"/>
  <c r="P71" i="1"/>
  <c r="P146" i="1"/>
  <c r="P355" i="1"/>
  <c r="J210" i="1"/>
  <c r="L210" i="1" s="1"/>
  <c r="P197" i="1"/>
  <c r="J50" i="1"/>
  <c r="L50" i="1" s="1"/>
  <c r="P181" i="1"/>
  <c r="P174" i="1"/>
  <c r="P173" i="1" s="1"/>
  <c r="P249" i="1"/>
  <c r="P58" i="1"/>
  <c r="P285" i="1"/>
  <c r="P163" i="1"/>
  <c r="P31" i="1"/>
  <c r="P278" i="1"/>
  <c r="P80" i="1"/>
  <c r="P362" i="1"/>
  <c r="P314" i="1"/>
  <c r="P158" i="1"/>
  <c r="P94" i="1"/>
  <c r="J308" i="1"/>
  <c r="L308" i="1" s="1"/>
  <c r="P109" i="1"/>
  <c r="P39" i="1"/>
  <c r="P148" i="1"/>
  <c r="P167" i="1"/>
  <c r="P235" i="1"/>
  <c r="P113" i="1"/>
  <c r="P324" i="1"/>
  <c r="P252" i="1"/>
  <c r="J217" i="1"/>
  <c r="L217" i="1" s="1"/>
  <c r="P53" i="1"/>
  <c r="P144" i="1"/>
  <c r="P283" i="1"/>
  <c r="P59" i="1"/>
  <c r="P54" i="1"/>
  <c r="P247" i="1"/>
  <c r="P82" i="1"/>
  <c r="J62" i="1"/>
  <c r="L62" i="1" s="1"/>
  <c r="P149" i="1"/>
  <c r="P276" i="1"/>
  <c r="P344" i="1"/>
  <c r="P347" i="1"/>
  <c r="P150" i="1"/>
  <c r="P138" i="1"/>
  <c r="P310" i="1"/>
  <c r="P225" i="1"/>
  <c r="P25" i="1"/>
  <c r="P67" i="1"/>
  <c r="P129" i="1"/>
  <c r="P194" i="1"/>
  <c r="P128" i="1"/>
  <c r="P291" i="1"/>
  <c r="P325" i="1"/>
  <c r="P154" i="1"/>
  <c r="P118" i="1"/>
  <c r="P297" i="1"/>
  <c r="P216" i="1"/>
  <c r="P212" i="1"/>
  <c r="P251" i="1"/>
  <c r="P14" i="1"/>
  <c r="P304" i="1"/>
  <c r="P134" i="1"/>
  <c r="P259" i="1"/>
  <c r="P366" i="1"/>
  <c r="J195" i="1"/>
  <c r="L195" i="1" s="1"/>
  <c r="P221" i="1"/>
  <c r="P273" i="1"/>
  <c r="P269" i="1"/>
  <c r="P232" i="1"/>
  <c r="P122" i="1"/>
  <c r="J185" i="1"/>
  <c r="L185" i="1" s="1"/>
  <c r="P184" i="1"/>
  <c r="P183" i="1" s="1"/>
  <c r="P296" i="1"/>
  <c r="P257" i="1"/>
  <c r="P61" i="1"/>
  <c r="P165" i="1"/>
  <c r="P256" i="1"/>
  <c r="P272" i="1"/>
  <c r="P337" i="1"/>
  <c r="P227" i="1"/>
  <c r="P243" i="1"/>
  <c r="P102" i="1"/>
  <c r="J84" i="1"/>
  <c r="L84" i="1" s="1"/>
  <c r="J21" i="1"/>
  <c r="L21" i="1" s="1"/>
  <c r="P306" i="1"/>
  <c r="P348" i="1"/>
  <c r="P73" i="1"/>
  <c r="P78" i="1"/>
  <c r="P315" i="1"/>
  <c r="P253" i="1"/>
  <c r="P171" i="1"/>
  <c r="P326" i="1"/>
  <c r="P300" i="1"/>
  <c r="P237" i="1"/>
  <c r="P343" i="1"/>
  <c r="P166" i="1"/>
  <c r="P13" i="1"/>
  <c r="P52" i="1"/>
  <c r="P350" i="1"/>
  <c r="P222" i="1"/>
  <c r="P124" i="1"/>
  <c r="P68" i="1"/>
  <c r="P110" i="1"/>
  <c r="P275" i="1"/>
  <c r="P322" i="1"/>
  <c r="P145" i="1"/>
  <c r="P161" i="1"/>
  <c r="J65" i="1"/>
  <c r="L65" i="1" s="1"/>
  <c r="J28" i="1"/>
  <c r="L28" i="1" s="1"/>
  <c r="J100" i="1"/>
  <c r="J191" i="1"/>
  <c r="L191" i="1" s="1"/>
  <c r="J26" i="1"/>
  <c r="L26" i="1" s="1"/>
  <c r="J56" i="1"/>
  <c r="L56" i="1" s="1"/>
  <c r="J87" i="1"/>
  <c r="L87" i="1" s="1"/>
  <c r="J32" i="1"/>
  <c r="L32" i="1" s="1"/>
  <c r="P20" i="1"/>
  <c r="P16" i="1"/>
  <c r="J23" i="1"/>
  <c r="L23" i="1" s="1"/>
  <c r="P340" i="1"/>
  <c r="P281" i="1"/>
  <c r="P162" i="1"/>
  <c r="P255" i="1"/>
  <c r="P279" i="1"/>
  <c r="J331" i="1"/>
  <c r="L331" i="1" s="1"/>
  <c r="P338" i="1"/>
  <c r="J345" i="1"/>
  <c r="L345" i="1" s="1"/>
  <c r="J97" i="1"/>
  <c r="L97" i="1" s="1"/>
  <c r="P116" i="1"/>
  <c r="P133" i="1"/>
  <c r="P335" i="1"/>
  <c r="P127" i="1"/>
  <c r="P172" i="1"/>
  <c r="J10" i="1"/>
  <c r="L10" i="1" s="1"/>
  <c r="J45" i="1"/>
  <c r="L45" i="1" s="1"/>
  <c r="P187" i="1"/>
  <c r="P332" i="1"/>
  <c r="P298" i="1"/>
  <c r="J40" i="1"/>
  <c r="L40" i="1" s="1"/>
  <c r="P41" i="1"/>
  <c r="J125" i="1"/>
  <c r="L125" i="1" s="1"/>
  <c r="P79" i="1"/>
  <c r="P55" i="1"/>
  <c r="P250" i="1"/>
  <c r="P192" i="1"/>
  <c r="J204" i="1"/>
  <c r="P66" i="1"/>
  <c r="P290" i="1"/>
  <c r="P186" i="1"/>
  <c r="P185" i="1" s="1"/>
  <c r="J91" i="1"/>
  <c r="L91" i="1" s="1"/>
  <c r="J169" i="1"/>
  <c r="P346" i="1"/>
  <c r="P18" i="1"/>
  <c r="P351" i="1"/>
  <c r="P114" i="1"/>
  <c r="P244" i="1"/>
  <c r="J175" i="1"/>
  <c r="L175" i="1" s="1"/>
  <c r="P155" i="1"/>
  <c r="P11" i="1"/>
  <c r="J201" i="1"/>
  <c r="L201" i="1" s="1"/>
  <c r="P202" i="1"/>
  <c r="P201" i="1" s="1"/>
  <c r="P15" i="1"/>
  <c r="J141" i="1"/>
  <c r="P117" i="1"/>
  <c r="P63" i="1"/>
  <c r="J320" i="1"/>
  <c r="P126" i="1"/>
  <c r="P170" i="1"/>
  <c r="P34" i="1"/>
  <c r="J36" i="1"/>
  <c r="L36" i="1" s="1"/>
  <c r="P47" i="1"/>
  <c r="J43" i="1"/>
  <c r="L43" i="1" s="1"/>
  <c r="P234" i="1"/>
  <c r="P268" i="1"/>
  <c r="P24" i="1"/>
  <c r="P23" i="1" s="1"/>
  <c r="P328" i="1"/>
  <c r="J368" i="1"/>
  <c r="P311" i="1"/>
  <c r="P95" i="1"/>
  <c r="P140" i="1"/>
  <c r="P142" i="1"/>
  <c r="P271" i="1"/>
  <c r="J223" i="1"/>
  <c r="L223" i="1" s="1"/>
  <c r="P159" i="1"/>
  <c r="P359" i="1"/>
  <c r="P8" i="1"/>
  <c r="P354" i="1"/>
  <c r="P29" i="1"/>
  <c r="P98" i="1"/>
  <c r="P97" i="1" s="1"/>
  <c r="J69" i="1"/>
  <c r="L69" i="1" s="1"/>
  <c r="P37" i="1"/>
  <c r="P112" i="1"/>
  <c r="J188" i="1"/>
  <c r="L188" i="1" s="1"/>
  <c r="P46" i="1"/>
  <c r="P45" i="1" s="1"/>
  <c r="P101" i="1"/>
  <c r="P100" i="1" s="1"/>
  <c r="P99" i="1" s="1"/>
  <c r="P199" i="1"/>
  <c r="P198" i="1" s="1"/>
  <c r="P92" i="1"/>
  <c r="P27" i="1"/>
  <c r="P26" i="1" s="1"/>
  <c r="P266" i="1"/>
  <c r="P258" i="1"/>
  <c r="P303" i="1"/>
  <c r="P205" i="1"/>
  <c r="P57" i="1"/>
  <c r="P88" i="1"/>
  <c r="P239" i="1"/>
  <c r="P156" i="1"/>
  <c r="P130" i="1"/>
  <c r="J293" i="1"/>
  <c r="P218" i="1"/>
  <c r="J131" i="1"/>
  <c r="L131" i="1" s="1"/>
  <c r="P115" i="1"/>
  <c r="P120" i="1"/>
  <c r="P260" i="1"/>
  <c r="P287" i="1"/>
  <c r="P224" i="1"/>
  <c r="P51" i="1"/>
  <c r="P356" i="1"/>
  <c r="P209" i="1"/>
  <c r="P208" i="1" s="1"/>
  <c r="J105" i="1"/>
  <c r="L105" i="1" s="1"/>
  <c r="P207" i="1"/>
  <c r="P189" i="1"/>
  <c r="P213" i="1"/>
  <c r="P309" i="1"/>
  <c r="P176" i="1"/>
  <c r="P77" i="1"/>
  <c r="P76" i="1" s="1"/>
  <c r="P136" i="1"/>
  <c r="P369" i="1"/>
  <c r="P75" i="1"/>
  <c r="P106" i="1"/>
  <c r="P132" i="1"/>
  <c r="P321" i="1"/>
  <c r="P211" i="1"/>
  <c r="P44" i="1"/>
  <c r="P43" i="1" s="1"/>
  <c r="P22" i="1"/>
  <c r="P21" i="1" s="1"/>
  <c r="P70" i="1"/>
  <c r="P85" i="1"/>
  <c r="P84" i="1" s="1"/>
  <c r="P294" i="1"/>
  <c r="P215" i="1"/>
  <c r="P196" i="1"/>
  <c r="P33" i="1"/>
  <c r="P87" i="1" l="1"/>
  <c r="P69" i="1"/>
  <c r="P62" i="1"/>
  <c r="P32" i="1"/>
  <c r="P214" i="1"/>
  <c r="P105" i="1"/>
  <c r="P175" i="1"/>
  <c r="P36" i="1"/>
  <c r="P293" i="1"/>
  <c r="P188" i="1"/>
  <c r="P28" i="1"/>
  <c r="L76" i="1"/>
  <c r="J74" i="1"/>
  <c r="L74" i="1" s="1"/>
  <c r="P210" i="1"/>
  <c r="P217" i="1"/>
  <c r="J139" i="1"/>
  <c r="L139" i="1" s="1"/>
  <c r="L141" i="1"/>
  <c r="J292" i="1"/>
  <c r="L292" i="1" s="1"/>
  <c r="L293" i="1"/>
  <c r="P131" i="1"/>
  <c r="P308" i="1"/>
  <c r="J367" i="1"/>
  <c r="L367" i="1" s="1"/>
  <c r="L368" i="1"/>
  <c r="J203" i="1"/>
  <c r="L203" i="1" s="1"/>
  <c r="L204" i="1"/>
  <c r="J99" i="1"/>
  <c r="L99" i="1" s="1"/>
  <c r="L100" i="1"/>
  <c r="P191" i="1"/>
  <c r="P331" i="1"/>
  <c r="P195" i="1"/>
  <c r="P50" i="1"/>
  <c r="P91" i="1"/>
  <c r="P74" i="1" s="1"/>
  <c r="J168" i="1"/>
  <c r="L169" i="1"/>
  <c r="L168" i="1" s="1"/>
  <c r="J319" i="1"/>
  <c r="L319" i="1" s="1"/>
  <c r="L320" i="1"/>
  <c r="P320" i="1"/>
  <c r="P56" i="1"/>
  <c r="P65" i="1"/>
  <c r="P223" i="1"/>
  <c r="P125" i="1"/>
  <c r="P40" i="1"/>
  <c r="P10" i="1"/>
  <c r="P368" i="1"/>
  <c r="P367" i="1" s="1"/>
  <c r="P169" i="1"/>
  <c r="P204" i="1"/>
  <c r="P141" i="1"/>
  <c r="P139" i="1" s="1"/>
  <c r="P135" i="1" s="1"/>
  <c r="J35" i="1"/>
  <c r="P345" i="1"/>
  <c r="J318" i="1"/>
  <c r="L318" i="1" s="1"/>
  <c r="P203" i="1" l="1"/>
  <c r="P292" i="1"/>
  <c r="P35" i="1"/>
  <c r="P168" i="1"/>
  <c r="G380" i="1"/>
  <c r="I380" i="1" s="1"/>
  <c r="D380" i="1"/>
  <c r="F380" i="1" s="1"/>
  <c r="P319" i="1"/>
  <c r="P318" i="1" s="1"/>
  <c r="J135" i="1"/>
  <c r="J7" i="1"/>
  <c r="J6" i="1" s="1"/>
  <c r="A380" i="1" s="1"/>
  <c r="C380" i="1" s="1"/>
  <c r="L35" i="1"/>
  <c r="L7" i="1" s="1"/>
  <c r="L6" i="1" s="1"/>
  <c r="P7" i="1"/>
  <c r="P6" i="1" s="1"/>
  <c r="P104" i="1" l="1"/>
  <c r="P103" i="1" s="1"/>
  <c r="P5" i="1" s="1"/>
  <c r="J104" i="1"/>
  <c r="L135" i="1"/>
  <c r="J103" i="1" l="1"/>
  <c r="L104" i="1"/>
  <c r="L103" i="1" l="1"/>
  <c r="L5" i="1" s="1"/>
  <c r="J5" i="1"/>
  <c r="J380" i="1" s="1"/>
</calcChain>
</file>

<file path=xl/sharedStrings.xml><?xml version="1.0" encoding="utf-8"?>
<sst xmlns="http://schemas.openxmlformats.org/spreadsheetml/2006/main" count="3406" uniqueCount="853">
  <si>
    <t>CODIGO</t>
  </si>
  <si>
    <t>NOMBRE</t>
  </si>
  <si>
    <t>SALDOINICIAL</t>
  </si>
  <si>
    <t>CREDITOS</t>
  </si>
  <si>
    <t>CONTRACREDITOS</t>
  </si>
  <si>
    <t>APLAZAMIENTOS</t>
  </si>
  <si>
    <t>REDUCCIONES</t>
  </si>
  <si>
    <t>ADICIONES</t>
  </si>
  <si>
    <t>0</t>
  </si>
  <si>
    <t>CUENTAS DE PLANEACION Y PPTO</t>
  </si>
  <si>
    <t>03</t>
  </si>
  <si>
    <t>PRESUPUESTO GASTOS DE FUNCIONAMIENTO</t>
  </si>
  <si>
    <t>0320</t>
  </si>
  <si>
    <t>GASTOS DE PERSONAL APROBADOS</t>
  </si>
  <si>
    <t>032001</t>
  </si>
  <si>
    <t>Sueldos</t>
  </si>
  <si>
    <t>032002</t>
  </si>
  <si>
    <t>Prima Técnica</t>
  </si>
  <si>
    <t>032003</t>
  </si>
  <si>
    <t>Otros Gastos Personales</t>
  </si>
  <si>
    <t>03200301</t>
  </si>
  <si>
    <t>Gastos de Representación</t>
  </si>
  <si>
    <t>03200302</t>
  </si>
  <si>
    <t>Prima de Servicios</t>
  </si>
  <si>
    <t>03200303</t>
  </si>
  <si>
    <t>Prima de Antigüedad</t>
  </si>
  <si>
    <t>03200304</t>
  </si>
  <si>
    <t>Prima de Vacaciones</t>
  </si>
  <si>
    <t>03200305</t>
  </si>
  <si>
    <t>Prima de Navidad</t>
  </si>
  <si>
    <t>03200306</t>
  </si>
  <si>
    <t>Prima de Clima</t>
  </si>
  <si>
    <t>03200307</t>
  </si>
  <si>
    <t>Bonificación Servicios Prestados Otras Primas</t>
  </si>
  <si>
    <t>03200309</t>
  </si>
  <si>
    <t>Subsidio de Alimentación</t>
  </si>
  <si>
    <t>03200310</t>
  </si>
  <si>
    <t>Subsidio de Transporte</t>
  </si>
  <si>
    <t>03200311</t>
  </si>
  <si>
    <t>Cesantías e Intereses</t>
  </si>
  <si>
    <t>032005</t>
  </si>
  <si>
    <t>Horas Extras y Festivos e Indemnizaciones</t>
  </si>
  <si>
    <t>03200501</t>
  </si>
  <si>
    <t>Horas Extras y Festivos</t>
  </si>
  <si>
    <t>032006</t>
  </si>
  <si>
    <t>PARAFISCALES</t>
  </si>
  <si>
    <t>03200601</t>
  </si>
  <si>
    <t>Transferencias para Seguridad Social y ARL</t>
  </si>
  <si>
    <t>03200602</t>
  </si>
  <si>
    <t>ICBF-Cajas Compensación Familiar</t>
  </si>
  <si>
    <t>032007</t>
  </si>
  <si>
    <t>Servicio Personal Transitorio</t>
  </si>
  <si>
    <t>03200701</t>
  </si>
  <si>
    <t>032008</t>
  </si>
  <si>
    <t>Honorarios</t>
  </si>
  <si>
    <t>03200801</t>
  </si>
  <si>
    <t>Honorarios Profesionales</t>
  </si>
  <si>
    <t>03200802</t>
  </si>
  <si>
    <t>Honorarios Consejo Superior</t>
  </si>
  <si>
    <t>032010</t>
  </si>
  <si>
    <t>Remuneración Servicios Técnicos</t>
  </si>
  <si>
    <t>032012</t>
  </si>
  <si>
    <t>HORAS CATEDRA</t>
  </si>
  <si>
    <t>03201201</t>
  </si>
  <si>
    <t>Cátedras modalidad presencial</t>
  </si>
  <si>
    <t>03201202</t>
  </si>
  <si>
    <t>Cátedras modalidad distancia</t>
  </si>
  <si>
    <t>032013</t>
  </si>
  <si>
    <t>GASTOS DE FUNCIONAMIENTO DE  POSGRADOS</t>
  </si>
  <si>
    <t>03201301</t>
  </si>
  <si>
    <t>FACULTAD DE MVZ</t>
  </si>
  <si>
    <t>0320130101</t>
  </si>
  <si>
    <t>Maestria en Ciencias Pecuarias</t>
  </si>
  <si>
    <t>0320130102</t>
  </si>
  <si>
    <t>Maestria en Desarrollo Rural</t>
  </si>
  <si>
    <t>0320130103</t>
  </si>
  <si>
    <t>Maestria en Clinica de Pequeños Animales</t>
  </si>
  <si>
    <t>03201302</t>
  </si>
  <si>
    <t>FACULTAD DE INGENIERIA FORESTAL</t>
  </si>
  <si>
    <t>0320130201</t>
  </si>
  <si>
    <t>Esp.en Gestion Ambiental y Eval.Impacto Ambiental</t>
  </si>
  <si>
    <t>0320130204</t>
  </si>
  <si>
    <t>Maestria en Gestion Ambiental y Eval.del Impacto Ambiental</t>
  </si>
  <si>
    <t>03201303</t>
  </si>
  <si>
    <t>FACULTAD DE ING. AGRONOMICA</t>
  </si>
  <si>
    <t>0320130301</t>
  </si>
  <si>
    <t>Maestria en Ciencias Agroalimentarias</t>
  </si>
  <si>
    <t>03201304</t>
  </si>
  <si>
    <t>FACULTAD DE CIENCIAS ECONOMICAS Y ADTIVAS</t>
  </si>
  <si>
    <t>0320130401</t>
  </si>
  <si>
    <t>Maestria en ADministracion</t>
  </si>
  <si>
    <t>0320130402</t>
  </si>
  <si>
    <t>Esp. en Direccion de Organizaciones</t>
  </si>
  <si>
    <t>0320130403</t>
  </si>
  <si>
    <t>Esp. en Direccion de Mercadeo</t>
  </si>
  <si>
    <t>0320130404</t>
  </si>
  <si>
    <t>Esp. en Talento Humano</t>
  </si>
  <si>
    <t>03201305</t>
  </si>
  <si>
    <t>FACULTAD DE EDUCACION</t>
  </si>
  <si>
    <t>0320130501</t>
  </si>
  <si>
    <t>Maestria en Ciencias de la Cultura Fisica y el Deporte</t>
  </si>
  <si>
    <t>0320130502</t>
  </si>
  <si>
    <t>Maestria en Educacion</t>
  </si>
  <si>
    <t>0320130503</t>
  </si>
  <si>
    <t>Maestria en Didactica del Ingles</t>
  </si>
  <si>
    <t>0320130504</t>
  </si>
  <si>
    <t>Especializacion en Pedagogia</t>
  </si>
  <si>
    <t>0320130505</t>
  </si>
  <si>
    <t>Maestria en Educacion Ambiental</t>
  </si>
  <si>
    <t>03201306</t>
  </si>
  <si>
    <t>FACULTAD DE CIENCIAS BASICAS</t>
  </si>
  <si>
    <t>0320130601</t>
  </si>
  <si>
    <t>Maestria en Ciencia Fisica</t>
  </si>
  <si>
    <t>0320130602</t>
  </si>
  <si>
    <t>Maestria en Ciencia Biologicas</t>
  </si>
  <si>
    <t>0320130603</t>
  </si>
  <si>
    <t>Doctorado en Cienicas Biomedicas</t>
  </si>
  <si>
    <t>0320130604</t>
  </si>
  <si>
    <t>Doctorado en Ciencias Biologicas</t>
  </si>
  <si>
    <t>0320130605</t>
  </si>
  <si>
    <t>Maestria en Matematicas</t>
  </si>
  <si>
    <t>03201307</t>
  </si>
  <si>
    <t>FACULTAD DE CIENCIAS DE LA SALUD</t>
  </si>
  <si>
    <t>0320130701</t>
  </si>
  <si>
    <t>Esp.en Enfermeria en Cuidado Critico</t>
  </si>
  <si>
    <t>0320130702</t>
  </si>
  <si>
    <t>Especializacion en Epidemiologia</t>
  </si>
  <si>
    <t>03201308</t>
  </si>
  <si>
    <t>FACULTAD DE CIENCIAS HUMANAS Y ARTES</t>
  </si>
  <si>
    <t>0320130801</t>
  </si>
  <si>
    <t>Maestria en Territorio y Conflicto</t>
  </si>
  <si>
    <t>0320130802</t>
  </si>
  <si>
    <t>Esp. en Derechos Humanos y Competencias Ciudadanas</t>
  </si>
  <si>
    <t>0320130803</t>
  </si>
  <si>
    <t>Maestria en H istoria</t>
  </si>
  <si>
    <t>03201309</t>
  </si>
  <si>
    <t>IDEAD</t>
  </si>
  <si>
    <t>0320130901</t>
  </si>
  <si>
    <t>Esp. en Gerencia de Proyectos</t>
  </si>
  <si>
    <t>0320130902</t>
  </si>
  <si>
    <t>Especializacion en Finanzas</t>
  </si>
  <si>
    <t>0320130903</t>
  </si>
  <si>
    <t>Esp. en Gerecnia de Instituciones Educativas</t>
  </si>
  <si>
    <t>0320130904</t>
  </si>
  <si>
    <t>Maestria en Pedagogia y Mediaciones Tecnologicas</t>
  </si>
  <si>
    <t>0321</t>
  </si>
  <si>
    <t>GASTOS GENERALES APROBADOS</t>
  </si>
  <si>
    <t>032106</t>
  </si>
  <si>
    <t>Materiales y Suministros</t>
  </si>
  <si>
    <t>032107</t>
  </si>
  <si>
    <t>Mantenimiento</t>
  </si>
  <si>
    <t>03210701</t>
  </si>
  <si>
    <t>Mantenimiento y Reparaciones Locativas</t>
  </si>
  <si>
    <t>03210702</t>
  </si>
  <si>
    <t>Mantenimiento y Reparaciones de Equipo</t>
  </si>
  <si>
    <t>032108</t>
  </si>
  <si>
    <t>Comunicaciones y Transporte</t>
  </si>
  <si>
    <t>032109</t>
  </si>
  <si>
    <t>Impresos y Publicaciones</t>
  </si>
  <si>
    <t>032110</t>
  </si>
  <si>
    <t>Servicios Públicos e Internet</t>
  </si>
  <si>
    <t>032111</t>
  </si>
  <si>
    <t>Seguros</t>
  </si>
  <si>
    <t>032112</t>
  </si>
  <si>
    <t>Arrendamientos</t>
  </si>
  <si>
    <t>032113</t>
  </si>
  <si>
    <t>Vi…ticos y Gastos de Viaje</t>
  </si>
  <si>
    <t>03211301</t>
  </si>
  <si>
    <t>Viáticos y Gastos de Viaje</t>
  </si>
  <si>
    <t>032116</t>
  </si>
  <si>
    <t>SENTENCIAS Y CONCILIACIONES</t>
  </si>
  <si>
    <t>032123</t>
  </si>
  <si>
    <t>CAPACITACION, BIENESTAR SOCIAL Y ESTIMULOS</t>
  </si>
  <si>
    <t>03212308</t>
  </si>
  <si>
    <t>Salud Ocupacional</t>
  </si>
  <si>
    <t>03212311</t>
  </si>
  <si>
    <t>Actualización Desarrollo y Capacitación</t>
  </si>
  <si>
    <t>032124</t>
  </si>
  <si>
    <t>Gastos Financieros -Comisiones Bancarias</t>
  </si>
  <si>
    <t>032191</t>
  </si>
  <si>
    <t>OTROS GASTOS POR ADQUISICION DE BIENES Y SERVICIOS</t>
  </si>
  <si>
    <t>03219106</t>
  </si>
  <si>
    <t>Pago utilización de otras Instituciones</t>
  </si>
  <si>
    <t>03219108</t>
  </si>
  <si>
    <t>Servicios de Vigilancia</t>
  </si>
  <si>
    <t>03219109</t>
  </si>
  <si>
    <t>Impuestos Tasas y Multas</t>
  </si>
  <si>
    <t>03219111</t>
  </si>
  <si>
    <t>Otros Gastos Generales</t>
  </si>
  <si>
    <t>03219112</t>
  </si>
  <si>
    <t>Gastos Secretaria General</t>
  </si>
  <si>
    <t>0323</t>
  </si>
  <si>
    <t>TRANSFERENCIAS CORRIENTES</t>
  </si>
  <si>
    <t>032307</t>
  </si>
  <si>
    <t>Transferencia Control Fiscal</t>
  </si>
  <si>
    <t>04</t>
  </si>
  <si>
    <t>PRESUPUESTO SERVICIO DE LA DEUDA PUBLICA</t>
  </si>
  <si>
    <t>0425</t>
  </si>
  <si>
    <t>DEUDA PULICA INTERNA APROBADA</t>
  </si>
  <si>
    <t>042501</t>
  </si>
  <si>
    <t>Amortizacion del Credito</t>
  </si>
  <si>
    <t>042502</t>
  </si>
  <si>
    <t>Intereses-comisiones y Gastos Empréstitos</t>
  </si>
  <si>
    <t>05</t>
  </si>
  <si>
    <t>PRESUPUESTO DE GASTOS DE INVERSION APROBADOS</t>
  </si>
  <si>
    <t>0536</t>
  </si>
  <si>
    <t>053601</t>
  </si>
  <si>
    <t>EJE 1: EXCELENCIA ACADEMICA</t>
  </si>
  <si>
    <t>05360102</t>
  </si>
  <si>
    <t>Gastos Generales Doctorados</t>
  </si>
  <si>
    <t>05360105</t>
  </si>
  <si>
    <t>Capacitación y Desarrollo Docente</t>
  </si>
  <si>
    <t>05360107</t>
  </si>
  <si>
    <t>Política Curricular</t>
  </si>
  <si>
    <t>05360108</t>
  </si>
  <si>
    <t>Acreditación de Alta Calidad</t>
  </si>
  <si>
    <t>05360109</t>
  </si>
  <si>
    <t>Fomento a la investigación-Recursos Fomento a la Educacion</t>
  </si>
  <si>
    <t>05360110</t>
  </si>
  <si>
    <t>Fomento a la Investigación Posgrados</t>
  </si>
  <si>
    <t>05360111</t>
  </si>
  <si>
    <t>Ampliación Oferta Académica</t>
  </si>
  <si>
    <t>05360112</t>
  </si>
  <si>
    <t>Inversiones Biblioteca</t>
  </si>
  <si>
    <t>05360113</t>
  </si>
  <si>
    <t>Internacionalización</t>
  </si>
  <si>
    <t>05360114</t>
  </si>
  <si>
    <t>Educación mediada por TICS</t>
  </si>
  <si>
    <t>05360115</t>
  </si>
  <si>
    <t>Gestión Documental</t>
  </si>
  <si>
    <t>05360116</t>
  </si>
  <si>
    <t>Colecciones y Museos</t>
  </si>
  <si>
    <t>05360117</t>
  </si>
  <si>
    <t>Formación en Lengua Extranjera</t>
  </si>
  <si>
    <t>05360118</t>
  </si>
  <si>
    <t>Jurados y Pago de Pares Externos</t>
  </si>
  <si>
    <t>05360119</t>
  </si>
  <si>
    <t>Proyecto Articulación</t>
  </si>
  <si>
    <t>05360120</t>
  </si>
  <si>
    <t>Gastos Practicas Pregrado</t>
  </si>
  <si>
    <t>05360122</t>
  </si>
  <si>
    <t>Cuotas de Afiliación y Sostenimiento</t>
  </si>
  <si>
    <t>05360123</t>
  </si>
  <si>
    <t>Política de graduados</t>
  </si>
  <si>
    <t>05360124</t>
  </si>
  <si>
    <t>Acreditacion Institucional</t>
  </si>
  <si>
    <t>053602</t>
  </si>
  <si>
    <t>EJE 2: COMPROMISO SOCIAL</t>
  </si>
  <si>
    <t>05360201</t>
  </si>
  <si>
    <t>Proyección social</t>
  </si>
  <si>
    <t>05360206</t>
  </si>
  <si>
    <t>Servicios Personales Orquesta</t>
  </si>
  <si>
    <t>05360210</t>
  </si>
  <si>
    <t>Programas de Bienestar Social</t>
  </si>
  <si>
    <t>05360211</t>
  </si>
  <si>
    <t>Reconocimiento Medico Estudiantil</t>
  </si>
  <si>
    <t>05360212</t>
  </si>
  <si>
    <t>Medicamentos y Elementos de Enfermería</t>
  </si>
  <si>
    <t>053603</t>
  </si>
  <si>
    <t>EJE 3: COMPROMISO AMBIENTAL</t>
  </si>
  <si>
    <t>05360301</t>
  </si>
  <si>
    <t>Catedra Ambiental</t>
  </si>
  <si>
    <t>05360302</t>
  </si>
  <si>
    <t>Formación en cultura ambiental</t>
  </si>
  <si>
    <t>05360303</t>
  </si>
  <si>
    <t>Planificación y gestión sustentable del campus</t>
  </si>
  <si>
    <t>053604</t>
  </si>
  <si>
    <t>EJE 4: EFICIENCIA Y TRANSPARENCIA ADMINISTRATIVA</t>
  </si>
  <si>
    <t>05360401</t>
  </si>
  <si>
    <t>Construcciones y Remodelaciones</t>
  </si>
  <si>
    <t>05360403</t>
  </si>
  <si>
    <t>Plan Estratégico Sedes Rurales</t>
  </si>
  <si>
    <t>05360404</t>
  </si>
  <si>
    <t>Sistema Regional Universidad del Tolima</t>
  </si>
  <si>
    <t>05360406</t>
  </si>
  <si>
    <t>Inversiones Estampillas</t>
  </si>
  <si>
    <t>0536040601</t>
  </si>
  <si>
    <t>INVERSIONES ESTAMPILLA - UT-CONSTRUCION BLOQUE DE AULAS</t>
  </si>
  <si>
    <t>0536040602</t>
  </si>
  <si>
    <t>INVERSIONES ESTAMPILLA- UNAL</t>
  </si>
  <si>
    <t>053604060201</t>
  </si>
  <si>
    <t>Bienestar Universitario (Restaurante)</t>
  </si>
  <si>
    <t>053604060202</t>
  </si>
  <si>
    <t>053604060203</t>
  </si>
  <si>
    <t>Formación Musical</t>
  </si>
  <si>
    <t>053604060204</t>
  </si>
  <si>
    <t>Instructores para Deportes y Recreación</t>
  </si>
  <si>
    <t>053604060205</t>
  </si>
  <si>
    <t>Dotacion de Libros para la Biblioteca</t>
  </si>
  <si>
    <t>053604060206</t>
  </si>
  <si>
    <t>Estrategia de Comunicaciones</t>
  </si>
  <si>
    <t>053604060207</t>
  </si>
  <si>
    <t>Mejoramiento de Dotación Bibliografica</t>
  </si>
  <si>
    <t>053604060208</t>
  </si>
  <si>
    <t>Dotación Deportiva</t>
  </si>
  <si>
    <t>053604060209</t>
  </si>
  <si>
    <t>Dotación Cultural de CREAD</t>
  </si>
  <si>
    <t>053604060210</t>
  </si>
  <si>
    <t>Asistentes Admisnitrativos</t>
  </si>
  <si>
    <t>053604060211</t>
  </si>
  <si>
    <t>Subsidios Deportes</t>
  </si>
  <si>
    <t>053604060212</t>
  </si>
  <si>
    <t>Apoyos Estudiantiles B 2017</t>
  </si>
  <si>
    <t>053604060213</t>
  </si>
  <si>
    <t>Bases de Datos de Biblioteca</t>
  </si>
  <si>
    <t>053604060214</t>
  </si>
  <si>
    <t>Dotación de Infraestructura Tecnologica-Video Beam</t>
  </si>
  <si>
    <t>053604060215</t>
  </si>
  <si>
    <t>Mejoramiento y Adecuación Salas de Artes (Terrazas)</t>
  </si>
  <si>
    <t>053604060216</t>
  </si>
  <si>
    <t>RECURSOS ESTAMPILLA PRO-UNIVERSIDAD NACIONAL DE COLOMBIA</t>
  </si>
  <si>
    <t>0536040603</t>
  </si>
  <si>
    <t>RECURSOS ESTAMPILLA PRO-UNIVERSIDAD DEL TOLIMA</t>
  </si>
  <si>
    <t>05360407</t>
  </si>
  <si>
    <t>Dotación y Recuperación de Equipos y Bienes Muebles</t>
  </si>
  <si>
    <t>05360408</t>
  </si>
  <si>
    <t>ADQUISICION DE BIENES MUEBLES E INMUEBLES</t>
  </si>
  <si>
    <t>05360409</t>
  </si>
  <si>
    <t>05360410</t>
  </si>
  <si>
    <t>Programas de Sistematizacion</t>
  </si>
  <si>
    <t>05360411</t>
  </si>
  <si>
    <t>Proyecto Virtual de Sistemas</t>
  </si>
  <si>
    <t>05360412</t>
  </si>
  <si>
    <t>Sistema de Planificación Institucional</t>
  </si>
  <si>
    <t>05360413</t>
  </si>
  <si>
    <t>Sistema de Comunicación y medios</t>
  </si>
  <si>
    <t>05360414</t>
  </si>
  <si>
    <t>Plan Estratégico Gestión TIC</t>
  </si>
  <si>
    <t>05360415</t>
  </si>
  <si>
    <t>Sistema de Gestión Integrado</t>
  </si>
  <si>
    <t>053606</t>
  </si>
  <si>
    <t>INVERSIONES DEEDUCACION CONTINUADA</t>
  </si>
  <si>
    <t>05360601</t>
  </si>
  <si>
    <t>0536060101</t>
  </si>
  <si>
    <t>Diplomados</t>
  </si>
  <si>
    <t>0536060102</t>
  </si>
  <si>
    <t>Educacion Continuada-Clinica de Pequeños Animales</t>
  </si>
  <si>
    <t>0536060103</t>
  </si>
  <si>
    <t>Educacion Continuada-Cursos Libres</t>
  </si>
  <si>
    <t>05360602</t>
  </si>
  <si>
    <t>FACULTAD DE ING. FORESTAL</t>
  </si>
  <si>
    <t>0536060201</t>
  </si>
  <si>
    <t>Diplomado en Silvicultura</t>
  </si>
  <si>
    <t>05360603</t>
  </si>
  <si>
    <t>FACULTAD DE ING.AGRONOMICA</t>
  </si>
  <si>
    <t>0536060301</t>
  </si>
  <si>
    <t>Diplomado en Integracion Sistemas de Gestion</t>
  </si>
  <si>
    <t>0536060302</t>
  </si>
  <si>
    <t>Diplomado Gestion Contable, Financiera y Tributaria en el Sector Agropecuario</t>
  </si>
  <si>
    <t>0536060303</t>
  </si>
  <si>
    <t>Diplomado en Diagnostico Integrado de Fertilidad de Suelos</t>
  </si>
  <si>
    <t>0536060304</t>
  </si>
  <si>
    <t>Diplomado Hortifruticola</t>
  </si>
  <si>
    <t>0536060305</t>
  </si>
  <si>
    <t>Cursos Libres</t>
  </si>
  <si>
    <t>0536060306</t>
  </si>
  <si>
    <t>Arrendamiento Granja Marañones</t>
  </si>
  <si>
    <t>0536060307</t>
  </si>
  <si>
    <t>Recursos de Balance-Laboratorio de Suelos</t>
  </si>
  <si>
    <t>05360604</t>
  </si>
  <si>
    <t>0536060401</t>
  </si>
  <si>
    <t>05360605</t>
  </si>
  <si>
    <t>0536060501</t>
  </si>
  <si>
    <t>0536060502</t>
  </si>
  <si>
    <t>Cursos de Ingles, Frances-Centro de Idiomas</t>
  </si>
  <si>
    <t>05360606</t>
  </si>
  <si>
    <t>0536060601</t>
  </si>
  <si>
    <t>0536060603</t>
  </si>
  <si>
    <t>Laserex</t>
  </si>
  <si>
    <t>05360607</t>
  </si>
  <si>
    <t>0536060701</t>
  </si>
  <si>
    <t>Cursos Introductorios</t>
  </si>
  <si>
    <t>0536060702</t>
  </si>
  <si>
    <t>Examanes de Aptitud Fisica</t>
  </si>
  <si>
    <t>0536060703</t>
  </si>
  <si>
    <t>05360608</t>
  </si>
  <si>
    <t>0536060804</t>
  </si>
  <si>
    <t>Laboratorio Audiovisual</t>
  </si>
  <si>
    <t>0536060807</t>
  </si>
  <si>
    <t>05360609</t>
  </si>
  <si>
    <t>FACULTAD DE TECNOLOGIAS</t>
  </si>
  <si>
    <t>0536060901</t>
  </si>
  <si>
    <t>0536060902</t>
  </si>
  <si>
    <t>05360610</t>
  </si>
  <si>
    <t>0536061001</t>
  </si>
  <si>
    <t>053607</t>
  </si>
  <si>
    <t>CONVENIOS</t>
  </si>
  <si>
    <t>05360702</t>
  </si>
  <si>
    <t>FACULTAD DE ING.FORESTAL</t>
  </si>
  <si>
    <t>0536070201</t>
  </si>
  <si>
    <t>Recursos de Balance Fondos Comunes- Bajo Calima</t>
  </si>
  <si>
    <t>0536070202</t>
  </si>
  <si>
    <t>Recursos de Balance Proyectos Especiales- Bajo Calima</t>
  </si>
  <si>
    <t>0536070203</t>
  </si>
  <si>
    <t>Recursos de Balance Recursos CREE-2016- Bajo Calima</t>
  </si>
  <si>
    <t>05360703</t>
  </si>
  <si>
    <t>0536070301</t>
  </si>
  <si>
    <t>CONVENIO 2564-ERASMUS</t>
  </si>
  <si>
    <t>05360705</t>
  </si>
  <si>
    <t>0536070501</t>
  </si>
  <si>
    <t>CONVENIO ASCUN</t>
  </si>
  <si>
    <t>0536070502</t>
  </si>
  <si>
    <t>CONVENIO 1008-16</t>
  </si>
  <si>
    <t>0536070503</t>
  </si>
  <si>
    <t>RECURSOS DE BALANCE FACULTAD DE EDUCACION</t>
  </si>
  <si>
    <t>05360708</t>
  </si>
  <si>
    <t>0536070801</t>
  </si>
  <si>
    <t>CONVENIOS 8605-004-2012 LIC-EDUC-BASICA EN DANZA</t>
  </si>
  <si>
    <t>0536070802</t>
  </si>
  <si>
    <t>CONVENIO 1150-17-TERCER ENCUENTRO NACIONAL DE EST.DE ARTES ENEA</t>
  </si>
  <si>
    <t>05360711</t>
  </si>
  <si>
    <t>CONVENIOS GOBERNACION DEL TOLIMA</t>
  </si>
  <si>
    <t>0536071101</t>
  </si>
  <si>
    <t>CONVENIOS 0766-PREVENCION Y MITIGACION DEL COSNUMO DE SUSTANCIAS PSICOACTIVA</t>
  </si>
  <si>
    <t>0536071102</t>
  </si>
  <si>
    <t>Convenio Interadministrativo 0935 de 2017-Proyeccion Social</t>
  </si>
  <si>
    <t>0536071103</t>
  </si>
  <si>
    <t xml:space="preserve"> CONVENIOS GOBERNACION TOLIMA</t>
  </si>
  <si>
    <t>0536071104</t>
  </si>
  <si>
    <t>CONVENIO 1040-2013-PROYECCION SOCIAL</t>
  </si>
  <si>
    <t>053608</t>
  </si>
  <si>
    <t>RECURSOS CREE VIGENCIA 2017</t>
  </si>
  <si>
    <t>053609</t>
  </si>
  <si>
    <t>RECURSOS CREE VIGENCIA 2016</t>
  </si>
  <si>
    <t>05360901</t>
  </si>
  <si>
    <t>RECURSOS CREE-Bienestar Universitario (Restaurante)</t>
  </si>
  <si>
    <t>05360902</t>
  </si>
  <si>
    <t>RECURSOS CREE-Bienestar Universitario (Alojamiento Estudiantes Mujeres)</t>
  </si>
  <si>
    <t>05360903</t>
  </si>
  <si>
    <t>RECURSOS CREE -Monitores Academicos, Monitor Cursos Nivelatorios</t>
  </si>
  <si>
    <t>05360904</t>
  </si>
  <si>
    <t>RECURSOS CREE-Ayudas Didacticas y Material Pedagoico Monitorias</t>
  </si>
  <si>
    <t>05360905</t>
  </si>
  <si>
    <t>RECURSOS CREE-Asistentes Administrativos</t>
  </si>
  <si>
    <t>05360906</t>
  </si>
  <si>
    <t>RECURSOS CREE-Interpretes</t>
  </si>
  <si>
    <t>05360908</t>
  </si>
  <si>
    <t>RECURSOS CREE-Apoyos Socioeconomicos A y B 2017</t>
  </si>
  <si>
    <t>05360909</t>
  </si>
  <si>
    <t>RECURSOS CREE-Apoyos Estudiantiles A y B 2017</t>
  </si>
  <si>
    <t>05360910</t>
  </si>
  <si>
    <t>RECURSOS CREE-Formacion Musical (Talleres, Instrumentos y Encordados)</t>
  </si>
  <si>
    <t>05360911</t>
  </si>
  <si>
    <t>RECURSOS CREE-Formacion Danza Tradicional y Adquision de Atuendos</t>
  </si>
  <si>
    <t>05360912</t>
  </si>
  <si>
    <t>RECURSOS CREE-Formacion Artes Plasticas Talleres y Exposiciones</t>
  </si>
  <si>
    <t>05360913</t>
  </si>
  <si>
    <t>RECURSOS CREE-Formacion Escenica (Titeres, Danza Contemp.Circo)Dotacion</t>
  </si>
  <si>
    <t>05360914</t>
  </si>
  <si>
    <t>RECURSOS CREE-Formacion y Capacitacion en la Apreciacion y Real.Cinematografia</t>
  </si>
  <si>
    <t>05360915</t>
  </si>
  <si>
    <t>RECURSOS CREE-Contratacion Instructores para Deportes, Recreacion</t>
  </si>
  <si>
    <t>05360916</t>
  </si>
  <si>
    <t>RECURSOS CREE-Formacion y Capacitacion de Docentes a Nivel Doctorado</t>
  </si>
  <si>
    <t>05360917</t>
  </si>
  <si>
    <t>RECURSOS CREE-Formacion y Capacitacion a Nivel Doctorado Becarios</t>
  </si>
  <si>
    <t>05360918</t>
  </si>
  <si>
    <t>RECURSOS CREE-Promocion y Desarrollo de Grupos de Investigacion</t>
  </si>
  <si>
    <t>05360919</t>
  </si>
  <si>
    <t>RECURSOS CREE-Colección Zoologica Univ. del Tolima</t>
  </si>
  <si>
    <t>05360920</t>
  </si>
  <si>
    <t>RECURSOS CREE-Construccion Entrada Principal</t>
  </si>
  <si>
    <t>05360921</t>
  </si>
  <si>
    <t>RECURSOS CREE-Mantenimiento de Salas de Artes (Terrazas)</t>
  </si>
  <si>
    <t>05360922</t>
  </si>
  <si>
    <t>RECURSOS CREE-Mejoramiento y Reparaciones Locativas en Predios UT</t>
  </si>
  <si>
    <t>05360923</t>
  </si>
  <si>
    <t>RECURSOS CREE-Adecuacion Cuarto Biosanitario y 3 Lab.(Postcosecha-Citogenetica-Laseres)</t>
  </si>
  <si>
    <t>05360924</t>
  </si>
  <si>
    <t>RECURSOS CREE-Bases de Datos y Adquisicion Material Bibliografico</t>
  </si>
  <si>
    <t>05360925</t>
  </si>
  <si>
    <t>RECURSOS CREE-Dott.Lab.de Didacticas y Recursos Bibl.Lic.Leng,Castellana</t>
  </si>
  <si>
    <t>05360926</t>
  </si>
  <si>
    <t>RECURSOS CREE-Dott.Lab.de Didacticas y Recursos Bibl.Lic.Ciencias Naturales</t>
  </si>
  <si>
    <t>05360927</t>
  </si>
  <si>
    <t>RECURSOS CREE 2016-Adecuacion y Dot. Lab. Interactivo Enseñanza del Ingles</t>
  </si>
  <si>
    <t>05360928</t>
  </si>
  <si>
    <t>RECURSOS CREE 2016-Adecuacion y Equ.Laboratorio Itinerante en TIC para Matematicas</t>
  </si>
  <si>
    <t>05360929</t>
  </si>
  <si>
    <t>RECURSOS CREE 2016-Adecuar y Dotar Lab. de Didacticas y Mat. Bibl.Lic.en Pedagofia Infanti</t>
  </si>
  <si>
    <t>05360930</t>
  </si>
  <si>
    <t>RECURSOS CREE 2013-2014-Rendimientos-Proyecto Aplicacion Metodologias Fuera de Aulas</t>
  </si>
  <si>
    <t>05360931</t>
  </si>
  <si>
    <t>RECURSOS CREE 2013-Reparación Y Mejoramiento del Escenario Depoetivo de la Sede Central UT</t>
  </si>
  <si>
    <t>05360932</t>
  </si>
  <si>
    <t>RECURSOS CREE 2013-MEJORAMIENTO Y ADECUACION CLINICA PEQUEÑOS ANIMALES</t>
  </si>
  <si>
    <t>05360933</t>
  </si>
  <si>
    <t>RECURSOS CREE 2013-ADECUACION LABORATORIOS BIOTERIO</t>
  </si>
  <si>
    <t>05360934</t>
  </si>
  <si>
    <t>05360935</t>
  </si>
  <si>
    <t>05360936</t>
  </si>
  <si>
    <t>05360937</t>
  </si>
  <si>
    <t>05360938</t>
  </si>
  <si>
    <t>05360939</t>
  </si>
  <si>
    <t>05360940</t>
  </si>
  <si>
    <t>05360941</t>
  </si>
  <si>
    <t>05360942</t>
  </si>
  <si>
    <t>05360943</t>
  </si>
  <si>
    <t>05360944</t>
  </si>
  <si>
    <t>05360945</t>
  </si>
  <si>
    <t>05360946</t>
  </si>
  <si>
    <t>05360947</t>
  </si>
  <si>
    <t>05360948</t>
  </si>
  <si>
    <t>05360949</t>
  </si>
  <si>
    <t>RECURSOS CREE-2014-Dotacion Hospital Veterinario MVZ</t>
  </si>
  <si>
    <t>05360950</t>
  </si>
  <si>
    <t>RECURSOS CREE 2015-Servicios Personal Transitorio-Investigadores Asociados</t>
  </si>
  <si>
    <t>05360951</t>
  </si>
  <si>
    <t>RECURSOS CREE 2015-Fomento a la investigación</t>
  </si>
  <si>
    <t>05360952</t>
  </si>
  <si>
    <t>RECURSOS CREE 2015-Inversiones Biblioteca-Bases de Datos</t>
  </si>
  <si>
    <t>05360953</t>
  </si>
  <si>
    <t>RECURSOS CREE 2015-Inversiones Biblioteca-COMPRA DE LIBROS</t>
  </si>
  <si>
    <t>05360954</t>
  </si>
  <si>
    <t>RECURSOS CREE 2015-Monitores y Asistentes Administrativos</t>
  </si>
  <si>
    <t>05360955</t>
  </si>
  <si>
    <t>RECURSOS CREE 2015-Plan Estategico de Gestión de TIC</t>
  </si>
  <si>
    <t>05360956</t>
  </si>
  <si>
    <t>RECURSOS CREE 2015-Construccion del Chute para las disposicion de basuras</t>
  </si>
  <si>
    <t>05360957</t>
  </si>
  <si>
    <t>RECURSOS CREE 2015-Mejoramiento de los sistemas de conduccion de agua Granja Armero</t>
  </si>
  <si>
    <t>05360958</t>
  </si>
  <si>
    <t>RECURSOS CREE 2015-Mejoramiento y Adecuacion  Facultad de Ciencias</t>
  </si>
  <si>
    <t>05360959</t>
  </si>
  <si>
    <t>RECURSOS CREE 2015-Maestria en Biologia-Mejoramiento de Laboratorios</t>
  </si>
  <si>
    <t>05360960</t>
  </si>
  <si>
    <t>Recursos CREE CURDN -Ingenieria Agronomica</t>
  </si>
  <si>
    <t>05360961</t>
  </si>
  <si>
    <t>Recursos CREE CURDN-Ingeneiria Forestal</t>
  </si>
  <si>
    <t>05360962</t>
  </si>
  <si>
    <t>Recursos CREE CURDN -Medicina Veneteriania y Zootecnia</t>
  </si>
  <si>
    <t>05360963</t>
  </si>
  <si>
    <t>Adquisicion Sistema de Informacion  ERP para la Universidad del Tolima</t>
  </si>
  <si>
    <t>05360964</t>
  </si>
  <si>
    <t>RECURSOS CREE-APLICACION DE ESTRATEGIAS DE ENSEÑANZA APRENDIZAJE QUE FACILITAN LA FORMACIO</t>
  </si>
  <si>
    <t>05360965</t>
  </si>
  <si>
    <t>RECURSOS CREE 2014-CONSTRUCICON EDIFICION DE AULAS</t>
  </si>
  <si>
    <t>05360966</t>
  </si>
  <si>
    <t>RECURSOS CREE-Adecuación del Invernadero de Suelos 1 y del Lab.de Ecologia Molecular</t>
  </si>
  <si>
    <t>05360967</t>
  </si>
  <si>
    <t>RECURSOS CREE RENIDMIENTOS-FASE COMPLENTARIA - IMPLEMENTACION NICSP</t>
  </si>
  <si>
    <t>05360968</t>
  </si>
  <si>
    <t>RECURSOS CREE RENIDMIENTOS-RENONOVACION INFRAESTRUCTURA TECNOLOGICA</t>
  </si>
  <si>
    <t>05360969</t>
  </si>
  <si>
    <t>RECURSOS CREE RENIDMIENTOS-BASES DE DATOS</t>
  </si>
  <si>
    <t>06</t>
  </si>
  <si>
    <t>FONDOS ROTATORIOS</t>
  </si>
  <si>
    <t>0601</t>
  </si>
  <si>
    <t>FONDO DE INVESTIGACIONES</t>
  </si>
  <si>
    <t>060101</t>
  </si>
  <si>
    <t>Proyectos de Investigacion en Ejecucion</t>
  </si>
  <si>
    <t>060102</t>
  </si>
  <si>
    <t>Grupos de Investigacion</t>
  </si>
  <si>
    <t>060103</t>
  </si>
  <si>
    <t>Trabajos de Grado y Semilleros en Ejecucion</t>
  </si>
  <si>
    <t>060104</t>
  </si>
  <si>
    <t>COLCIENCIAS</t>
  </si>
  <si>
    <t>060105</t>
  </si>
  <si>
    <t>CORTOLIMA</t>
  </si>
  <si>
    <t>060106</t>
  </si>
  <si>
    <t>Gobernacion del Tolima</t>
  </si>
  <si>
    <t>060107</t>
  </si>
  <si>
    <t>Otros Fondos</t>
  </si>
  <si>
    <t>060108</t>
  </si>
  <si>
    <t>Proyectos de INvest. Nuevos-Fomento a la Administracion</t>
  </si>
  <si>
    <t>060109</t>
  </si>
  <si>
    <t>Recursos CREE-Investigaciones</t>
  </si>
  <si>
    <t>060113</t>
  </si>
  <si>
    <t>Doctorado en Ciencias Biomedicas</t>
  </si>
  <si>
    <t>060114</t>
  </si>
  <si>
    <t>060115</t>
  </si>
  <si>
    <t>Doctorado en Educacion</t>
  </si>
  <si>
    <t>060116</t>
  </si>
  <si>
    <t>Doctorado en Ciencias Agrarias</t>
  </si>
  <si>
    <t>060117</t>
  </si>
  <si>
    <t>Doctorado en Palnificacion y Manejo Ambiental de Cuencas Hidrigraficas</t>
  </si>
  <si>
    <t>0602</t>
  </si>
  <si>
    <t>REGALIAS</t>
  </si>
  <si>
    <t>060201</t>
  </si>
  <si>
    <t>SGR 2013000100103 - TALENTO</t>
  </si>
  <si>
    <t>060202</t>
  </si>
  <si>
    <t>BPIN 2013000100199 - APROCIENCIA</t>
  </si>
  <si>
    <t>060203</t>
  </si>
  <si>
    <t>SGR - BPIN:2015004730044 CAPACIDADES</t>
  </si>
  <si>
    <t>060204</t>
  </si>
  <si>
    <t>SGR - INNOVIS</t>
  </si>
  <si>
    <t>060205</t>
  </si>
  <si>
    <t>SGR - AGUACATE</t>
  </si>
  <si>
    <t>0603</t>
  </si>
  <si>
    <t>Fondo de Becas y Legados</t>
  </si>
  <si>
    <t>0604</t>
  </si>
  <si>
    <t>Fondo Rotatorio Granja Armero-CURDN</t>
  </si>
  <si>
    <t>0605</t>
  </si>
  <si>
    <t>CERE</t>
  </si>
  <si>
    <t>07</t>
  </si>
  <si>
    <t>DEFICIT VIGENCIAS ANTERIORES</t>
  </si>
  <si>
    <t>08</t>
  </si>
  <si>
    <t>RESERVA PRESUPUESTAL</t>
  </si>
  <si>
    <t>0830</t>
  </si>
  <si>
    <t>RESERVAS PRESUPUESTALES</t>
  </si>
  <si>
    <t>083001</t>
  </si>
  <si>
    <t>RESERVAS GASTOS PERSONALES</t>
  </si>
  <si>
    <t>08300101</t>
  </si>
  <si>
    <t>RESERVAS CESANTIAS</t>
  </si>
  <si>
    <t>08300102</t>
  </si>
  <si>
    <t>RESERVAS SUPERNUMERARIOS</t>
  </si>
  <si>
    <t>08300103</t>
  </si>
  <si>
    <t>RESERVAS  HONORARIOS</t>
  </si>
  <si>
    <t>08300104</t>
  </si>
  <si>
    <t>RESERVAS SUELDOS</t>
  </si>
  <si>
    <t>08300106</t>
  </si>
  <si>
    <t>RESERVAS CATEDRAS</t>
  </si>
  <si>
    <t>08300108</t>
  </si>
  <si>
    <t>RESERVAS-HONORARIOS CONSEJO SUPERIOR</t>
  </si>
  <si>
    <t>08300112</t>
  </si>
  <si>
    <t>RESERVAS IMDEMNIZACIONES DE VACACIONES</t>
  </si>
  <si>
    <t>08300114</t>
  </si>
  <si>
    <t>PRIMA DE VACACIONES</t>
  </si>
  <si>
    <t>08300115</t>
  </si>
  <si>
    <t>PRIMA DE NAVIDAD</t>
  </si>
  <si>
    <t>08300116</t>
  </si>
  <si>
    <t>BONIFICACIONES</t>
  </si>
  <si>
    <t>083002</t>
  </si>
  <si>
    <t>RESERVAS GASTOS GENERALES</t>
  </si>
  <si>
    <t>08300201</t>
  </si>
  <si>
    <t>RESERVAS MATERIALES Y SUMINSITROS</t>
  </si>
  <si>
    <t>08300202</t>
  </si>
  <si>
    <t>RESERVAS MATENIMIENTO REPARACIONES LOCATIVAS</t>
  </si>
  <si>
    <t>08300203</t>
  </si>
  <si>
    <t>RESERVAS MANTENIMIENTO Y REPARACIONES DE EQUIPOS</t>
  </si>
  <si>
    <t>08300204</t>
  </si>
  <si>
    <t>RESERVAS IMPRESOS Y PUBLICACIONES</t>
  </si>
  <si>
    <t>08300205</t>
  </si>
  <si>
    <t>RESERVAS SERVICIOS PUBLICOS</t>
  </si>
  <si>
    <t>08300206</t>
  </si>
  <si>
    <t>RESERVAS SERVICIOS DE VIGILANCIA</t>
  </si>
  <si>
    <t>08300207</t>
  </si>
  <si>
    <t>RESERVAS-COMUNICACIONES Y TRANSPORTES</t>
  </si>
  <si>
    <t>08300208</t>
  </si>
  <si>
    <t>RESERVAS-ARRENDAMIENTOS</t>
  </si>
  <si>
    <t>08300213</t>
  </si>
  <si>
    <t>RESERVAS - GASTOS GENERALES SECRETARIA</t>
  </si>
  <si>
    <t>08300224</t>
  </si>
  <si>
    <t>RESERVAS OTROS GASTOS GENERALES</t>
  </si>
  <si>
    <t>08300225</t>
  </si>
  <si>
    <t>RESERVAS-PAGOS POR UTILIZACION DE OTRAS INSTITUCIONES</t>
  </si>
  <si>
    <t>08300226</t>
  </si>
  <si>
    <t xml:space="preserve"> RESERVAS-SEGUROS</t>
  </si>
  <si>
    <t>08300228</t>
  </si>
  <si>
    <t>GASTOS PRACTICAS DE POSGRADO</t>
  </si>
  <si>
    <t>083015</t>
  </si>
  <si>
    <t>RESERVAS INVERSIONES</t>
  </si>
  <si>
    <t>08301513</t>
  </si>
  <si>
    <t>RESERVAS-PROGRAMAS DE SISTEMATIZACION</t>
  </si>
  <si>
    <t>08301550</t>
  </si>
  <si>
    <t>RESEVAS SISTEMA DE PLANIFICACION INSTITUCIONAL</t>
  </si>
  <si>
    <t>08301560</t>
  </si>
  <si>
    <t>RESERVAS  APROCIENCIA REGALIAS</t>
  </si>
  <si>
    <t>08301573</t>
  </si>
  <si>
    <t>RESERVAS GASTOS DE COMERCIALIZACION CURDN</t>
  </si>
  <si>
    <t>08301574</t>
  </si>
  <si>
    <t>RECURSOS CREE-CURDN</t>
  </si>
  <si>
    <t>08301575</t>
  </si>
  <si>
    <t>RESERVAS-RECURSOS CREE-SEDE CENTRAL</t>
  </si>
  <si>
    <t>08301577</t>
  </si>
  <si>
    <t>RESERVAS-RECURSOS ESTAMPILLAS UT-2016</t>
  </si>
  <si>
    <t>08301578</t>
  </si>
  <si>
    <t>RESERVAS-CONVENIOS FACULTAD DE TECNOLOGIAS</t>
  </si>
  <si>
    <t>08301579</t>
  </si>
  <si>
    <t>RESERVAS-CONVENIOS FACULTAD DE ARTES Y HUMANIDADES</t>
  </si>
  <si>
    <t>08301580</t>
  </si>
  <si>
    <t>RESERVAS-PROYECTOS DE INVESTIGACION EN EJECUCION</t>
  </si>
  <si>
    <t>08301581</t>
  </si>
  <si>
    <t>RESERVAS-TRABAJOS DE GRADO Y SEMILLEROS EN EJECUCION</t>
  </si>
  <si>
    <t>08301582</t>
  </si>
  <si>
    <t>RESERVAS-CERE</t>
  </si>
  <si>
    <t>08301583</t>
  </si>
  <si>
    <t>RESERVAS-COLCIENCIAS</t>
  </si>
  <si>
    <t>08301584</t>
  </si>
  <si>
    <t>RESERVAS-OTROS FONDOS</t>
  </si>
  <si>
    <t>08301585</t>
  </si>
  <si>
    <t>RESERVAS-CONVOCATORIA ESPECIAL GRUPO DE INVESTIGACION</t>
  </si>
  <si>
    <t>08301586</t>
  </si>
  <si>
    <t>RESERVAS-PROYECTOS DE INV.NUEVOS FOMENTO ADMON</t>
  </si>
  <si>
    <t>08301587</t>
  </si>
  <si>
    <t>RESERVAS-SISTEMA GENERAL DE REGALIAS 103-B-PIN</t>
  </si>
  <si>
    <t>08301588</t>
  </si>
  <si>
    <t>RESERVAS-SISTEMA GENERAL DE REGALIAS 199-B-PIN</t>
  </si>
  <si>
    <t>08301589</t>
  </si>
  <si>
    <t>RESERVAS-PROYECTO DE REGALIAS B-PIN 30044-CAPACIDADES</t>
  </si>
  <si>
    <t>08301590</t>
  </si>
  <si>
    <t>RESERVAS-CONVENIOS0856-15 CADENA OVINO-CAPRINA DEPTO TOLIMA</t>
  </si>
  <si>
    <t>08301591</t>
  </si>
  <si>
    <t>RESERVAS-PROYECTO AGUACATE 30114-CONVENIOS 010</t>
  </si>
  <si>
    <t>0832</t>
  </si>
  <si>
    <t>RESERVAS  VIGENCIAS EXPIRADAS</t>
  </si>
  <si>
    <t>083203</t>
  </si>
  <si>
    <t>VIGENCIAS EXPIRADAS</t>
  </si>
  <si>
    <t>08320304</t>
  </si>
  <si>
    <t>RESERVAS-RECURSOS ESTAMPILLAS UT-VIG.ANTERIORES</t>
  </si>
  <si>
    <t>08320314</t>
  </si>
  <si>
    <t>RESERVAS-SISTEMA GENERAL DE  REGALIAS 103-B-PIN</t>
  </si>
  <si>
    <t>08320315</t>
  </si>
  <si>
    <t>08320316</t>
  </si>
  <si>
    <t>RESERVAS-PROYECTO AGUACATE 30114-CONVENIO 110</t>
  </si>
  <si>
    <t>DESAPLAZAMIENTOS</t>
  </si>
  <si>
    <t>PAC ACUMULADO</t>
  </si>
  <si>
    <t>PPTO DEFINITIVO</t>
  </si>
  <si>
    <t>TOTAL COMPROMISO</t>
  </si>
  <si>
    <t>SALDO POR COMPROMETER</t>
  </si>
  <si>
    <t>TOTAL GIROS</t>
  </si>
  <si>
    <t>CUENTAS POR PAGAR</t>
  </si>
  <si>
    <t>TOTAL CDP´S</t>
  </si>
  <si>
    <t>SALDO DISPONIBLE</t>
  </si>
  <si>
    <t>UNIVERSIDAD DEL TOLIMA</t>
  </si>
  <si>
    <t>DIVISIÓN CONTABLE Y FINANCIERA</t>
  </si>
  <si>
    <t>EJECUCIÓN PRESUPUESTAL CIERRE DE GASTOS VIAGENCIA 2017</t>
  </si>
  <si>
    <t>RESERVA PPTAL</t>
  </si>
  <si>
    <t xml:space="preserve">RECURSOS CREE VIGENCIAS ANTERIORES 2015-Mantenimiento y Rep. Locativas-Recursos </t>
  </si>
  <si>
    <t>RECURSOS CREE VIGENCIAS ANTERIORES-2015-MANT.Y rEP. LOCATIVAS</t>
  </si>
  <si>
    <t>RECURSOS CREE VIGENCIAS ANTERIORES 2015-BECARIOS</t>
  </si>
  <si>
    <t>RECURSOS CREE VIGENCIAS ANTERIORES 2015-INTERNACIONALIZACION PROF.VISTANTES</t>
  </si>
  <si>
    <t>RECURSOS CREE VIGENCIAS ANTERIORES 2015--PROYECCION SOCIAL</t>
  </si>
  <si>
    <t>RECURSOS CREE VIGENCIAS ANTERIORES 2015-BIENESTAR UNIVERSITARIO</t>
  </si>
  <si>
    <t>RECURSOS CREE VIGENCIAS ANTERIORES 2015-APOYOS EACT.ESTUDIANTILES</t>
  </si>
  <si>
    <t>RECURSOS CREE VIGENCIAS ANTERIORES 2015-GASTOS EXT.CULTURAL</t>
  </si>
  <si>
    <t>RECURSOS CREE VIGENCIAS ANTERIORES 2015-ACTIVIDADES DEPORTIVAS</t>
  </si>
  <si>
    <t>RECURSOS CREE VIGENCIAS ANTERIORES 2015-APOYOS ECONOMICOS ESTUDIANTILES</t>
  </si>
  <si>
    <t>RECURSOS CREE VIGENCIAS ANTERIORES 2015-RESTAURANTE UNIVERSITARIO</t>
  </si>
  <si>
    <t>RECURSOS CREE VIGENCIAS ANTERIORES 2015-DOT.Y RECUPERACION EQUIPOS</t>
  </si>
  <si>
    <t>RECURSOS CREE VIGENCIAS ANTERIORES 2015 -ACREDITACION DE ALTA CALIDAD</t>
  </si>
  <si>
    <t>RECURSOS CREE VIGENCIAS ANTERIORES 2015-EDUCACION MEDIADA POR LAS TICS</t>
  </si>
  <si>
    <t>RECURSOS CREE VIGENCIAS ANTERIORES 2015-PLANIFICACION SUSTENTABLE CAMPUS</t>
  </si>
  <si>
    <t>RUBRO</t>
  </si>
  <si>
    <t>VALOR</t>
  </si>
  <si>
    <t>RECURSOS CREE-Ayudas Didácticas y Material Pedagógico Monitorias</t>
  </si>
  <si>
    <t>RECURSOS CREE-Formación Artes Plásticas Talleres y Exposiciones</t>
  </si>
  <si>
    <t>RECURSOS CREE-Promoción y Desarrollo de Grupos de Investigación</t>
  </si>
  <si>
    <t>RECURSOS CREE-Colección Zoológica Univ. del Tolima</t>
  </si>
  <si>
    <t>RECURSOS CREE-Bases de Datos y Adquisición Material Bibliográfico</t>
  </si>
  <si>
    <t>RECURSOS CREE-Dot.Lab.de Didácticas y Recursos Bibl.Lic.Ciencias Naturales</t>
  </si>
  <si>
    <t>RECURSOS CREE-Bienestar Universitario (Alojamiento Est. Mujeres)</t>
  </si>
  <si>
    <t>RECURSOS CREE -Monitores Académicos- Cursos Nivelatorios</t>
  </si>
  <si>
    <t>RECURSOS CREE-Formación Musical (Talleres, Inst. y Encordados)</t>
  </si>
  <si>
    <t>RECURSOS CREE-Formación Escénica (Títeres, Danza Contemp.Circo)</t>
  </si>
  <si>
    <t>RECURSOS CREE-Formación Capacit.en la Apreciación  Real.Cinemat.</t>
  </si>
  <si>
    <t>RECURSOS CREE-Formación y Capaci.Docentes a Nivel Doctorado</t>
  </si>
  <si>
    <t>RECURSOS CREE-Formación y Capaci. Nivel Doctorado Becarios</t>
  </si>
  <si>
    <t>RECURSOS CREE-Mejoramiento y Rep. Locativas en Predios UT</t>
  </si>
  <si>
    <t>RECURSOS CREE-Adecuación Cuarto Biosanitario (Postcosecha-Citogenetica-Laseres)</t>
  </si>
  <si>
    <t>RECURSOS CREE-Dot.Lab.Didácticas- Recursos Bibl.Lic.Leng-Castellana</t>
  </si>
  <si>
    <t>TOTAL RECURSOS CREE-VIGENCIA 2016</t>
  </si>
  <si>
    <t>RECURSOS CREE 2013-Reparación Y Mejoramiento del Escenario Deportivo Sede Central UT</t>
  </si>
  <si>
    <t>RECURSOS CREE 2013-Mejoramiento Y Adecuación Clínica Pequeños Animales</t>
  </si>
  <si>
    <t>RECURSOS CREE 2013-Adecuacion Laboratorios Beaterio</t>
  </si>
  <si>
    <t>RECURSOS CREE -2015-Mant. Y  Reparaciones  Locativas</t>
  </si>
  <si>
    <t>RECURSOS CREE - 2015-Becarios</t>
  </si>
  <si>
    <t xml:space="preserve">RECURSOS CREE - 2015-Internacionalización </t>
  </si>
  <si>
    <t>RECURSOS CREE - 2015-Proyección Social</t>
  </si>
  <si>
    <t>RECURSOS CREE - 2015-Bienestar Universitario</t>
  </si>
  <si>
    <t>RECURSOS CREE - 2015-Apoyos Actividades Estudiantiles</t>
  </si>
  <si>
    <t>RECURSOS CREE - 2015-Gastos Extensión Cultural</t>
  </si>
  <si>
    <t>RECURSOS CREE - 2015-Actividades Deportivas</t>
  </si>
  <si>
    <t>RECURSOS CREE - 2015-Apoyos Económicos Estudiantiles</t>
  </si>
  <si>
    <t>RECURSOS CREE - 2015-Restaurante Universitario</t>
  </si>
  <si>
    <t>RECURSOS CREE - 2015 -Acreditación de Alta Calidad</t>
  </si>
  <si>
    <t>RECURSOS CREE - 2015-Educación Mediada Por Las TICS</t>
  </si>
  <si>
    <t>RECURSOS CREE - 2015-Planificación Sustentable Campus</t>
  </si>
  <si>
    <t>RECURSOS CREE-2014-Dotación Hospital Veterinario MVZ</t>
  </si>
  <si>
    <t>RECURSOS CREE 2015-Transitorios-Investigadores Asociados</t>
  </si>
  <si>
    <t>RECURSOS CREE 2015-Inversiones Biblioteca-Compra De Libros</t>
  </si>
  <si>
    <t>RECURSOS CREE 2015-Plan Estratégico de Gestión de TIC</t>
  </si>
  <si>
    <t>RECURSOS CREE 2015-Mejoramiento De Los Sistemas De Conducción De Agua Granja Armero</t>
  </si>
  <si>
    <t>RECURSOS CREE 2015-Maestria en Biología-Mejoramiento de Laboratorios</t>
  </si>
  <si>
    <t>Recursos CREE CURDN -Ingeniería Agronómica</t>
  </si>
  <si>
    <t>Recursos CREE CURDN-Ingeniería Forestal</t>
  </si>
  <si>
    <t>Recursos CREE CURDN -Medicina Veterinaria y Zootecnia</t>
  </si>
  <si>
    <t>RECURSOS CREE 2015-Construccion  Chute Para Las Disposición De Basuras</t>
  </si>
  <si>
    <t>TOTAL  RECURSOS ESTAMPILLA PRO UT</t>
  </si>
  <si>
    <t>INVERSIONES ESTAMPILLA PRO UT-Construcción Bloque de Aulas</t>
  </si>
  <si>
    <t>TOTAL RECURSOS CREE 2017</t>
  </si>
  <si>
    <t>Formación Doctoral</t>
  </si>
  <si>
    <t>Aplicación de estrategias de enseñanza y aprendizaje que facilitan la formación de los estudiantes a través de prácticas pedagógicas</t>
  </si>
  <si>
    <t>Programas Bienestar Estudiantil</t>
  </si>
  <si>
    <t>Subsidios De Alimentación (Restaurante)</t>
  </si>
  <si>
    <t>Movilidad internacional</t>
  </si>
  <si>
    <t>Grupos de investigación</t>
  </si>
  <si>
    <t>Laboratorio investigación ciencias sociales en las áreas de historia, geografía y sus didácticas</t>
  </si>
  <si>
    <t>Dotación laboratorios de docencia acreditación alta calidad</t>
  </si>
  <si>
    <t>Dotación equipos de simulación y laboratorio de torre docente</t>
  </si>
  <si>
    <t>RESUMEN GENERAL</t>
  </si>
  <si>
    <t>TOTAL RECURSOS DE BALANCE</t>
  </si>
  <si>
    <t>TOTAL</t>
  </si>
  <si>
    <t>Recursos de Balance Vigencia 2017.</t>
  </si>
  <si>
    <t xml:space="preserve">NOMBRE </t>
  </si>
  <si>
    <t>INGRESOS NO CORRIENTES</t>
  </si>
  <si>
    <t>RECURSOS DE CAPITAL</t>
  </si>
  <si>
    <t>RECURSOS DE BALANCE</t>
  </si>
  <si>
    <t>TOTAL RECURSOS CREE - VIGENCIAS ANTERIORES 2013-2014-2015</t>
  </si>
  <si>
    <t>TOTAL  REDISTRIBUCIÓN RECURSOS CREE VIGENCIA 2014</t>
  </si>
  <si>
    <t>TOTAL  REASIGNACIÓN  RECURSOS CREE VIGENCIA 2016</t>
  </si>
  <si>
    <t>RECURSOS CREE-Aplicación De Estrategias De Enseñanza Aprendizaje Que Facilitan La Formación Profesional</t>
  </si>
  <si>
    <t>RECURSOS CREE RENIDMIENTOS FINANCIEROS-Renovación Infraestructura Tecnológica</t>
  </si>
  <si>
    <t>RECURSOS ESTAMPILLA Pro-Universidad Nacional De Colombia</t>
  </si>
  <si>
    <t>RECURSOS ESTAMPILLA Pro-Universidad Del Tolima</t>
  </si>
  <si>
    <t>TOTAL RECURSOS ESTAMPILLA PRO UNIVERSIDAD NACIONAL- PRO UT</t>
  </si>
  <si>
    <t xml:space="preserve">TOTAL RENDIMIENTOS FINANCIEROS  RECURSOS CREE </t>
  </si>
  <si>
    <t>RECURSOS CREE 2014-Construcción Edificio De Aulas</t>
  </si>
  <si>
    <t>CUENTA</t>
  </si>
  <si>
    <t>RESERVA</t>
  </si>
  <si>
    <t>Pago por utilizacion de otras institucioes</t>
  </si>
  <si>
    <t xml:space="preserve">RECURSOS CREE VIGENCIAS ANTERIORES 2014-Mantenimiento y Rep. Locativas-Recursos </t>
  </si>
  <si>
    <t>TOTAL RECURSOS ESTAMPILLA PRO UNIVERSIDAD NACIONAL 2017</t>
  </si>
  <si>
    <t>TOTAL RECURSOS ESTAMPILLA PRO UNIVERSIDAD NACIONAL  - PRO UT - ACS-041-17</t>
  </si>
  <si>
    <t>TOTAL  RECURSOS DE BALANCE  CONVENIO 1040-2013-PROYECCION SOCIAL</t>
  </si>
  <si>
    <t>TOTAL  RECURSOS ESTAMPILLA PRO UT - ACS-011-2017</t>
  </si>
  <si>
    <t>TOTAL RECURSOS ESTAMPILLA PRO UNIVERSIDAD NACIONAL 2017 - ACS-024-2017</t>
  </si>
  <si>
    <t>TOTAL RENDIMIENTOS FINANCIEROS  RECURSOS CREE  - ACS-038-2017</t>
  </si>
  <si>
    <t>TOTAL RECURSOS CREE 2017  -ACS-045-2017</t>
  </si>
  <si>
    <t>TOTAL  REDISTRIBUCIÓN RECURSOS CREE VIGENCIA 2014 - ACS-012-2017</t>
  </si>
  <si>
    <t>TOTAL  REASIGNACIÓN  RECURSOS CREE VIGENCIA 2016 - ACS-014-016-2017</t>
  </si>
  <si>
    <t>TOTAL RECURSOS CREE - VIGENCIAS ANTERIORES 2013-2014-2015 ACS-011-2017</t>
  </si>
  <si>
    <t>TOTAL RECURSOS CREE-VIGENCIA 2016 - ACS-022-2017</t>
  </si>
  <si>
    <t>TOTAL  RECURSOS DE BALANCE  CONVENIO 0935-2017-PROGRAMA DE PRÁCTICAS PROFESIONALES DEL SECTOR RURAL</t>
  </si>
  <si>
    <t>RECURSOS CREE</t>
  </si>
  <si>
    <t>SALDO AL 31 DE DICIEMBRE DE 2017</t>
  </si>
  <si>
    <t>MENOS RESERVA PRESUPUESTAL AL 31 DE DICIEMBRE DE 2017</t>
  </si>
  <si>
    <t>MENOS CUENTAS POR PAGAR AL 31 DE DICIEMBRE DE 2017</t>
  </si>
  <si>
    <t>MENOS TRASLADO PENDIENTE CUENTA CERE AL CREE</t>
  </si>
  <si>
    <t>MENOS TRASLADOS PENDIENTES AL 31 DE DICIEMBRE DE 2017 DE CREE A FONDOS COMUNES</t>
  </si>
  <si>
    <t>MENOS RECURSOS ADICIONADO MEDIANTE ACUERDO CS-001-2018</t>
  </si>
  <si>
    <t>SALDO FINAL DE RECURSOS DE BALANCE CREE AL 31-12-2017</t>
  </si>
  <si>
    <t>TOTAL DEFINITIVO RECURSOS PROPIOS</t>
  </si>
  <si>
    <t>TOTAL EJECUTADO RECURSOS PROPIOS</t>
  </si>
  <si>
    <t>INDICADOR %</t>
  </si>
  <si>
    <t>TOTAL DEFINITIVO RECURSOS CREE-REGALIAS-ESTAMPILLAS</t>
  </si>
  <si>
    <t>TOTAL EJECUTADORECURSOS CREE-REGALIAS</t>
  </si>
  <si>
    <t>TOTAL DEFINITIVO PROYECTOS ESPECIALES</t>
  </si>
  <si>
    <t>TOTAL EJECUTADO PROYECTOS ESPECIALES</t>
  </si>
  <si>
    <t>INDICADOR % EJECUCIÓN TOTAL</t>
  </si>
  <si>
    <t>SERVICIOS PERSONALES POSGRADOS</t>
  </si>
  <si>
    <t>Maestria</t>
  </si>
  <si>
    <t>RECURSOS CREE 2015-Adecuacion y Dot. Lab. Interactivo Enseñanza del Ingles</t>
  </si>
  <si>
    <t>RECURSOS CREE 2015-Adecuacion y Equ.Laboratorio Itinerante en TIC para Matematicas</t>
  </si>
  <si>
    <t>RECURSOS CREE 2015-Adecuar y Dotar Lab. de Didacticas y Mat. Bibl.Lic.en Pedagofia Infanti</t>
  </si>
  <si>
    <r>
      <t xml:space="preserve">ANALISIS: </t>
    </r>
    <r>
      <rPr>
        <sz val="11"/>
        <color rgb="FF000000"/>
        <rFont val="Calibri"/>
        <family val="2"/>
        <scheme val="minor"/>
      </rPr>
      <t>Si bien la ejecución  total al cierre de la vigencia 2017 es del  75,67%, al analizar por fuentes de financiación, podemos observar que la ejecución que agrupa los gastos de funcionamiento esta por el 99,23%, indicando eficiencia en el manejo de los recuros destinados para el funcionamiento de la Universidad,  esto se debe principalmente a las medidas de control de ejecución del gastos por medio del Plan Anual Mensual izado de Caja PAC.</t>
    </r>
  </si>
  <si>
    <t>En cuanto a las demás fuentes de financiación se pude observar que su ejecución sigue siendo  muy baja, debido a la lentitud de los procesos internos de la Institución. Podemos observar los recursos de Estampilla Pro Unal, Pro UT y Regalias, con una ejecucion del 29,70%, y los Proyectos especiales con una ejecución del 74,96%, esto debdido a que gran parte a la medida de congelación del gasto, que sirvio para apalancar algunos gastos de funcionamiento.</t>
  </si>
  <si>
    <t>WILLIAM ANDRES VASQUEZ CRUZ</t>
  </si>
  <si>
    <t>Director Financiero</t>
  </si>
  <si>
    <t>OMAR A. MEJIA PATIÑO</t>
  </si>
  <si>
    <t>Rector</t>
  </si>
  <si>
    <t>DCF/Presupuesto/William Andréz Vasquez Crúz/Luis Carlos Lozano R.</t>
  </si>
  <si>
    <t>RECURSOS CREE 2013-Reparación Y Mejoramiento del Escenario Deportivo de la Sede Central 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</si>
</sst>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1" formatCode="_-* #,##0_-;\-* #,##0_-;_-* &quot;-&quot;_-;_-@_-"/>
    <numFmt numFmtId="43" formatCode="_-* #,##0.00_-;\-* #,##0.00_-;_-* &quot;-&quot;??_-;_-@_-"/>
    <numFmt numFmtId="164" formatCode="#,##0_ ;[Red]\-#,##0\ "/>
    <numFmt numFmtId="165" formatCode="00000000"/>
    <numFmt numFmtId="166" formatCode="#,##0.00_ ;[Red]\-#,##0.00\ "/>
    <numFmt numFmtId="167" formatCode="_-* #,##0.00_-;\-* #,##0.00_-;_-* &quot;-&quot;_-;_-@_-"/>
    <numFmt numFmtId="168" formatCode="_(* #,##0_);_(* \(#,##0\);_(* &quot;-&quot;??_);_(@_)"/>
    <numFmt numFmtId="169" formatCode="0.0%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1"/>
      <name val="Bodoni MT Black"/>
      <family val="1"/>
    </font>
  </fonts>
  <fills count="9">
    <fill>
      <patternFill patternType="none"/>
    </fill>
    <fill>
      <patternFill patternType="gray125"/>
    </fill>
    <fill>
      <patternFill patternType="solid">
        <fgColor theme="9" tint="0.599963377788628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4506668294322"/>
        <bgColor indexed="64"/>
      </patternFill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85">
    <xf numFmtId="0" fontId="0" fillId="0" borderId="0" xfId="0"/>
    <xf numFmtId="0" fontId="0" fillId="0" borderId="1" xfId="0" applyFill="1" applyBorder="1"/>
    <xf numFmtId="0" fontId="0" fillId="0" borderId="1" xfId="0" quotePrefix="1" applyFill="1" applyBorder="1"/>
    <xf numFmtId="41" fontId="0" fillId="0" borderId="0" xfId="1" applyFont="1"/>
    <xf numFmtId="0" fontId="2" fillId="0" borderId="1" xfId="0" quotePrefix="1" applyFont="1" applyFill="1" applyBorder="1"/>
    <xf numFmtId="0" fontId="2" fillId="0" borderId="1" xfId="0" applyFont="1" applyFill="1" applyBorder="1"/>
    <xf numFmtId="0" fontId="2" fillId="0" borderId="0" xfId="0" applyFont="1"/>
    <xf numFmtId="0" fontId="6" fillId="2" borderId="1" xfId="0" applyFont="1" applyFill="1" applyBorder="1" applyAlignment="1">
      <alignment horizontal="center" vertical="center" wrapText="1"/>
    </xf>
    <xf numFmtId="41" fontId="6" fillId="2" borderId="1" xfId="1" applyFont="1" applyFill="1" applyBorder="1" applyAlignment="1">
      <alignment horizontal="center" vertical="center" wrapText="1"/>
    </xf>
    <xf numFmtId="0" fontId="7" fillId="0" borderId="0" xfId="0" applyFont="1"/>
    <xf numFmtId="164" fontId="2" fillId="0" borderId="1" xfId="1" applyNumberFormat="1" applyFont="1" applyFill="1" applyBorder="1"/>
    <xf numFmtId="164" fontId="0" fillId="0" borderId="1" xfId="1" applyNumberFormat="1" applyFont="1" applyFill="1" applyBorder="1"/>
    <xf numFmtId="164" fontId="0" fillId="3" borderId="1" xfId="1" applyNumberFormat="1" applyFont="1" applyFill="1" applyBorder="1"/>
    <xf numFmtId="4" fontId="8" fillId="0" borderId="0" xfId="0" applyNumberFormat="1" applyFont="1"/>
    <xf numFmtId="0" fontId="0" fillId="0" borderId="1" xfId="0" quotePrefix="1" applyFill="1" applyBorder="1" applyAlignment="1">
      <alignment horizontal="center"/>
    </xf>
    <xf numFmtId="164" fontId="0" fillId="0" borderId="0" xfId="0" applyNumberFormat="1"/>
    <xf numFmtId="1" fontId="0" fillId="0" borderId="3" xfId="0" applyNumberFormat="1" applyFill="1" applyBorder="1" applyAlignment="1">
      <alignment vertical="center" wrapText="1"/>
    </xf>
    <xf numFmtId="164" fontId="0" fillId="0" borderId="3" xfId="1" applyNumberFormat="1" applyFont="1" applyFill="1" applyBorder="1"/>
    <xf numFmtId="164" fontId="2" fillId="0" borderId="3" xfId="0" applyNumberFormat="1" applyFont="1" applyBorder="1"/>
    <xf numFmtId="0" fontId="2" fillId="0" borderId="3" xfId="0" applyFont="1" applyFill="1" applyBorder="1" applyAlignment="1">
      <alignment horizontal="center" vertical="center" wrapText="1"/>
    </xf>
    <xf numFmtId="0" fontId="0" fillId="0" borderId="3" xfId="0" applyFill="1" applyBorder="1"/>
    <xf numFmtId="0" fontId="0" fillId="0" borderId="3" xfId="0" applyFill="1" applyBorder="1" applyAlignment="1">
      <alignment vertical="center" wrapText="1"/>
    </xf>
    <xf numFmtId="0" fontId="2" fillId="0" borderId="0" xfId="0" applyFont="1" applyBorder="1" applyAlignment="1">
      <alignment horizontal="center"/>
    </xf>
    <xf numFmtId="164" fontId="2" fillId="0" borderId="0" xfId="0" applyNumberFormat="1" applyFont="1" applyBorder="1"/>
    <xf numFmtId="0" fontId="0" fillId="0" borderId="4" xfId="0" applyFill="1" applyBorder="1"/>
    <xf numFmtId="164" fontId="0" fillId="0" borderId="4" xfId="1" applyNumberFormat="1" applyFont="1" applyFill="1" applyBorder="1"/>
    <xf numFmtId="0" fontId="8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vertical="center"/>
    </xf>
    <xf numFmtId="0" fontId="9" fillId="0" borderId="3" xfId="0" applyFont="1" applyBorder="1" applyAlignment="1">
      <alignment vertical="center" wrapText="1"/>
    </xf>
    <xf numFmtId="0" fontId="0" fillId="0" borderId="3" xfId="0" applyFont="1" applyBorder="1"/>
    <xf numFmtId="164" fontId="0" fillId="0" borderId="3" xfId="0" applyNumberFormat="1" applyFont="1" applyBorder="1"/>
    <xf numFmtId="0" fontId="0" fillId="0" borderId="0" xfId="0" applyFont="1"/>
    <xf numFmtId="0" fontId="2" fillId="0" borderId="3" xfId="0" applyFont="1" applyFill="1" applyBorder="1" applyAlignment="1">
      <alignment horizontal="left"/>
    </xf>
    <xf numFmtId="0" fontId="10" fillId="0" borderId="3" xfId="0" applyFont="1" applyFill="1" applyBorder="1" applyAlignment="1">
      <alignment horizontal="left"/>
    </xf>
    <xf numFmtId="0" fontId="10" fillId="0" borderId="3" xfId="0" applyFont="1" applyFill="1" applyBorder="1"/>
    <xf numFmtId="0" fontId="0" fillId="0" borderId="3" xfId="0" applyFont="1" applyFill="1" applyBorder="1" applyAlignment="1">
      <alignment horizontal="left"/>
    </xf>
    <xf numFmtId="0" fontId="2" fillId="0" borderId="3" xfId="0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0" fontId="0" fillId="0" borderId="3" xfId="0" applyFont="1" applyBorder="1" applyAlignment="1">
      <alignment horizontal="justify" vertical="center" wrapText="1"/>
    </xf>
    <xf numFmtId="0" fontId="0" fillId="0" borderId="0" xfId="0" quotePrefix="1" applyFill="1" applyBorder="1" applyAlignment="1">
      <alignment horizontal="center"/>
    </xf>
    <xf numFmtId="0" fontId="0" fillId="0" borderId="0" xfId="0" applyFill="1" applyBorder="1"/>
    <xf numFmtId="164" fontId="0" fillId="0" borderId="0" xfId="1" applyNumberFormat="1" applyFont="1" applyFill="1" applyBorder="1"/>
    <xf numFmtId="164" fontId="2" fillId="0" borderId="3" xfId="1" applyNumberFormat="1" applyFont="1" applyFill="1" applyBorder="1"/>
    <xf numFmtId="0" fontId="0" fillId="0" borderId="1" xfId="0" applyFill="1" applyBorder="1" applyAlignment="1">
      <alignment vertical="center" wrapText="1"/>
    </xf>
    <xf numFmtId="164" fontId="2" fillId="0" borderId="3" xfId="1" applyNumberFormat="1" applyFont="1" applyFill="1" applyBorder="1" applyAlignment="1">
      <alignment horizontal="center" vertical="center" wrapText="1"/>
    </xf>
    <xf numFmtId="164" fontId="8" fillId="0" borderId="3" xfId="0" applyNumberFormat="1" applyFont="1" applyBorder="1" applyAlignment="1">
      <alignment horizontal="center" vertical="center"/>
    </xf>
    <xf numFmtId="164" fontId="9" fillId="0" borderId="3" xfId="0" applyNumberFormat="1" applyFont="1" applyBorder="1" applyAlignment="1">
      <alignment vertical="center"/>
    </xf>
    <xf numFmtId="164" fontId="8" fillId="0" borderId="3" xfId="0" applyNumberFormat="1" applyFont="1" applyBorder="1" applyAlignment="1">
      <alignment vertical="center"/>
    </xf>
    <xf numFmtId="164" fontId="0" fillId="0" borderId="0" xfId="0" applyNumberFormat="1" applyFont="1"/>
    <xf numFmtId="0" fontId="8" fillId="0" borderId="3" xfId="0" applyFont="1" applyBorder="1" applyAlignment="1">
      <alignment horizontal="center" vertical="center"/>
    </xf>
    <xf numFmtId="0" fontId="7" fillId="0" borderId="0" xfId="0" applyFont="1" applyFill="1"/>
    <xf numFmtId="0" fontId="11" fillId="4" borderId="3" xfId="0" applyFont="1" applyFill="1" applyBorder="1"/>
    <xf numFmtId="0" fontId="11" fillId="4" borderId="3" xfId="0" applyFont="1" applyFill="1" applyBorder="1" applyAlignment="1">
      <alignment wrapText="1"/>
    </xf>
    <xf numFmtId="41" fontId="11" fillId="4" borderId="3" xfId="1" applyFont="1" applyFill="1" applyBorder="1"/>
    <xf numFmtId="0" fontId="11" fillId="0" borderId="0" xfId="0" applyFont="1" applyFill="1"/>
    <xf numFmtId="165" fontId="7" fillId="0" borderId="3" xfId="0" quotePrefix="1" applyNumberFormat="1" applyFont="1" applyFill="1" applyBorder="1"/>
    <xf numFmtId="0" fontId="7" fillId="0" borderId="3" xfId="0" quotePrefix="1" applyFont="1" applyFill="1" applyBorder="1" applyAlignment="1">
      <alignment wrapText="1"/>
    </xf>
    <xf numFmtId="41" fontId="7" fillId="0" borderId="3" xfId="1" applyFont="1" applyFill="1" applyBorder="1"/>
    <xf numFmtId="0" fontId="7" fillId="0" borderId="1" xfId="0" quotePrefix="1" applyFont="1" applyFill="1" applyBorder="1" applyAlignment="1">
      <alignment wrapText="1"/>
    </xf>
    <xf numFmtId="0" fontId="7" fillId="0" borderId="3" xfId="0" quotePrefix="1" applyFont="1" applyFill="1" applyBorder="1"/>
    <xf numFmtId="0" fontId="7" fillId="0" borderId="3" xfId="0" applyFont="1" applyFill="1" applyBorder="1" applyAlignment="1">
      <alignment wrapText="1"/>
    </xf>
    <xf numFmtId="0" fontId="7" fillId="0" borderId="1" xfId="0" applyFont="1" applyFill="1" applyBorder="1" applyAlignment="1">
      <alignment wrapText="1"/>
    </xf>
    <xf numFmtId="0" fontId="7" fillId="0" borderId="0" xfId="0" applyFont="1" applyFill="1" applyAlignment="1">
      <alignment wrapText="1"/>
    </xf>
    <xf numFmtId="41" fontId="7" fillId="0" borderId="0" xfId="1" applyFont="1" applyFill="1"/>
    <xf numFmtId="41" fontId="7" fillId="0" borderId="0" xfId="0" applyNumberFormat="1" applyFont="1" applyFill="1"/>
    <xf numFmtId="166" fontId="2" fillId="0" borderId="1" xfId="1" applyNumberFormat="1" applyFont="1" applyFill="1" applyBorder="1"/>
    <xf numFmtId="0" fontId="6" fillId="0" borderId="1" xfId="0" applyFont="1" applyFill="1" applyBorder="1" applyAlignment="1">
      <alignment horizontal="center" vertical="center" wrapText="1"/>
    </xf>
    <xf numFmtId="41" fontId="6" fillId="0" borderId="1" xfId="1" applyFont="1" applyFill="1" applyBorder="1" applyAlignment="1">
      <alignment horizontal="center" vertical="center" wrapText="1"/>
    </xf>
    <xf numFmtId="0" fontId="0" fillId="0" borderId="0" xfId="0" quotePrefix="1" applyFill="1" applyBorder="1"/>
    <xf numFmtId="0" fontId="0" fillId="0" borderId="0" xfId="0" applyFill="1"/>
    <xf numFmtId="0" fontId="9" fillId="0" borderId="3" xfId="0" applyFont="1" applyFill="1" applyBorder="1" applyAlignment="1">
      <alignment vertical="center" wrapText="1"/>
    </xf>
    <xf numFmtId="164" fontId="0" fillId="0" borderId="0" xfId="0" applyNumberFormat="1" applyFill="1"/>
    <xf numFmtId="0" fontId="2" fillId="0" borderId="0" xfId="0" quotePrefix="1" applyFont="1" applyFill="1" applyBorder="1" applyAlignment="1">
      <alignment horizontal="center"/>
    </xf>
    <xf numFmtId="164" fontId="2" fillId="0" borderId="0" xfId="1" applyNumberFormat="1" applyFont="1" applyFill="1" applyBorder="1"/>
    <xf numFmtId="0" fontId="0" fillId="5" borderId="1" xfId="0" quotePrefix="1" applyFill="1" applyBorder="1"/>
    <xf numFmtId="164" fontId="0" fillId="5" borderId="1" xfId="1" applyNumberFormat="1" applyFont="1" applyFill="1" applyBorder="1"/>
    <xf numFmtId="41" fontId="0" fillId="0" borderId="0" xfId="0" applyNumberFormat="1" applyFill="1"/>
    <xf numFmtId="167" fontId="0" fillId="0" borderId="3" xfId="1" applyNumberFormat="1" applyFont="1" applyBorder="1"/>
    <xf numFmtId="167" fontId="2" fillId="0" borderId="3" xfId="1" applyNumberFormat="1" applyFont="1" applyBorder="1"/>
    <xf numFmtId="166" fontId="0" fillId="0" borderId="1" xfId="1" applyNumberFormat="1" applyFont="1" applyFill="1" applyBorder="1"/>
    <xf numFmtId="166" fontId="2" fillId="0" borderId="3" xfId="0" applyNumberFormat="1" applyFont="1" applyBorder="1"/>
    <xf numFmtId="166" fontId="2" fillId="0" borderId="0" xfId="0" applyNumberFormat="1" applyFont="1" applyBorder="1"/>
    <xf numFmtId="166" fontId="9" fillId="0" borderId="3" xfId="0" applyNumberFormat="1" applyFont="1" applyFill="1" applyBorder="1" applyAlignment="1">
      <alignment vertical="center"/>
    </xf>
    <xf numFmtId="166" fontId="8" fillId="0" borderId="3" xfId="0" applyNumberFormat="1" applyFont="1" applyBorder="1" applyAlignment="1">
      <alignment vertical="center"/>
    </xf>
    <xf numFmtId="166" fontId="2" fillId="0" borderId="3" xfId="1" applyNumberFormat="1" applyFont="1" applyFill="1" applyBorder="1"/>
    <xf numFmtId="0" fontId="6" fillId="0" borderId="1" xfId="0" applyFont="1" applyFill="1" applyBorder="1" applyAlignment="1">
      <alignment vertical="center" wrapText="1"/>
    </xf>
    <xf numFmtId="0" fontId="0" fillId="5" borderId="1" xfId="0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quotePrefix="1" applyFont="1" applyFill="1" applyBorder="1" applyAlignment="1">
      <alignment vertical="center" wrapText="1"/>
    </xf>
    <xf numFmtId="0" fontId="2" fillId="0" borderId="3" xfId="0" quotePrefix="1" applyFont="1" applyFill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0" xfId="0" applyFill="1" applyAlignment="1">
      <alignment horizontal="center"/>
    </xf>
    <xf numFmtId="0" fontId="2" fillId="0" borderId="0" xfId="0" quotePrefix="1" applyFont="1" applyFill="1" applyBorder="1" applyAlignment="1">
      <alignment horizontal="center" vertical="center" wrapText="1"/>
    </xf>
    <xf numFmtId="164" fontId="2" fillId="0" borderId="0" xfId="1" applyNumberFormat="1" applyFont="1" applyFill="1" applyBorder="1" applyAlignment="1">
      <alignment horizontal="center" vertical="center" wrapText="1"/>
    </xf>
    <xf numFmtId="0" fontId="0" fillId="0" borderId="1" xfId="0" quotePrefix="1" applyFill="1" applyBorder="1"/>
    <xf numFmtId="166" fontId="2" fillId="0" borderId="3" xfId="0" applyNumberFormat="1" applyFont="1" applyBorder="1" applyAlignment="1">
      <alignment vertical="center"/>
    </xf>
    <xf numFmtId="166" fontId="2" fillId="0" borderId="3" xfId="1" applyNumberFormat="1" applyFont="1" applyBorder="1" applyAlignment="1">
      <alignment horizontal="right" vertical="center" wrapText="1"/>
    </xf>
    <xf numFmtId="166" fontId="0" fillId="0" borderId="3" xfId="1" applyNumberFormat="1" applyFont="1" applyBorder="1" applyAlignment="1">
      <alignment horizontal="right"/>
    </xf>
    <xf numFmtId="166" fontId="2" fillId="0" borderId="3" xfId="1" applyNumberFormat="1" applyFont="1" applyBorder="1" applyAlignment="1">
      <alignment horizontal="right"/>
    </xf>
    <xf numFmtId="0" fontId="0" fillId="0" borderId="3" xfId="0" quotePrefix="1" applyFill="1" applyBorder="1"/>
    <xf numFmtId="166" fontId="0" fillId="0" borderId="3" xfId="1" applyNumberFormat="1" applyFont="1" applyFill="1" applyBorder="1"/>
    <xf numFmtId="0" fontId="2" fillId="0" borderId="3" xfId="0" applyFont="1" applyFill="1" applyBorder="1"/>
    <xf numFmtId="166" fontId="2" fillId="0" borderId="3" xfId="0" applyNumberFormat="1" applyFont="1" applyFill="1" applyBorder="1"/>
    <xf numFmtId="0" fontId="12" fillId="0" borderId="0" xfId="0" applyFont="1" applyAlignment="1">
      <alignment horizontal="left"/>
    </xf>
    <xf numFmtId="38" fontId="2" fillId="3" borderId="4" xfId="4" applyNumberFormat="1" applyFont="1" applyFill="1" applyBorder="1" applyAlignment="1">
      <alignment horizontal="center"/>
    </xf>
    <xf numFmtId="38" fontId="2" fillId="7" borderId="4" xfId="4" applyNumberFormat="1" applyFont="1" applyFill="1" applyBorder="1" applyAlignment="1">
      <alignment horizontal="center"/>
    </xf>
    <xf numFmtId="9" fontId="6" fillId="0" borderId="0" xfId="5" applyFont="1" applyFill="1" applyBorder="1" applyAlignment="1">
      <alignment horizontal="center"/>
    </xf>
    <xf numFmtId="38" fontId="6" fillId="0" borderId="0" xfId="4" applyNumberFormat="1" applyFont="1" applyFill="1" applyBorder="1"/>
    <xf numFmtId="38" fontId="7" fillId="0" borderId="0" xfId="4" applyNumberFormat="1" applyFont="1" applyFill="1" applyBorder="1"/>
    <xf numFmtId="168" fontId="7" fillId="0" borderId="0" xfId="4" applyNumberFormat="1" applyFont="1" applyFill="1" applyBorder="1"/>
    <xf numFmtId="10" fontId="2" fillId="3" borderId="4" xfId="5" applyNumberFormat="1" applyFont="1" applyFill="1" applyBorder="1" applyAlignment="1">
      <alignment horizontal="center"/>
    </xf>
    <xf numFmtId="10" fontId="2" fillId="6" borderId="4" xfId="5" applyNumberFormat="1" applyFont="1" applyFill="1" applyBorder="1" applyAlignment="1">
      <alignment horizontal="center"/>
    </xf>
    <xf numFmtId="0" fontId="11" fillId="8" borderId="1" xfId="0" applyFont="1" applyFill="1" applyBorder="1" applyAlignment="1">
      <alignment horizontal="center" vertical="center" wrapText="1"/>
    </xf>
    <xf numFmtId="43" fontId="11" fillId="8" borderId="1" xfId="4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/>
    </xf>
    <xf numFmtId="168" fontId="11" fillId="0" borderId="1" xfId="4" applyNumberFormat="1" applyFont="1" applyFill="1" applyBorder="1" applyAlignment="1">
      <alignment horizontal="left"/>
    </xf>
    <xf numFmtId="0" fontId="12" fillId="0" borderId="1" xfId="0" applyFont="1" applyFill="1" applyBorder="1" applyAlignment="1">
      <alignment horizontal="left"/>
    </xf>
    <xf numFmtId="168" fontId="12" fillId="0" borderId="1" xfId="4" applyNumberFormat="1" applyFont="1" applyFill="1" applyBorder="1" applyAlignment="1">
      <alignment horizontal="left"/>
    </xf>
    <xf numFmtId="41" fontId="6" fillId="0" borderId="0" xfId="1" applyFont="1" applyFill="1" applyBorder="1" applyAlignment="1">
      <alignment horizontal="center"/>
    </xf>
    <xf numFmtId="168" fontId="6" fillId="6" borderId="8" xfId="4" applyNumberFormat="1" applyFont="1" applyFill="1" applyBorder="1" applyAlignment="1">
      <alignment horizontal="center" vertical="center" wrapText="1"/>
    </xf>
    <xf numFmtId="168" fontId="6" fillId="6" borderId="9" xfId="4" applyNumberFormat="1" applyFont="1" applyFill="1" applyBorder="1" applyAlignment="1">
      <alignment horizontal="center" vertical="center" wrapText="1"/>
    </xf>
    <xf numFmtId="168" fontId="6" fillId="3" borderId="8" xfId="4" applyNumberFormat="1" applyFont="1" applyFill="1" applyBorder="1" applyAlignment="1">
      <alignment horizontal="center" vertical="center" wrapText="1"/>
    </xf>
    <xf numFmtId="168" fontId="6" fillId="7" borderId="8" xfId="4" applyNumberFormat="1" applyFont="1" applyFill="1" applyBorder="1" applyAlignment="1">
      <alignment horizontal="center" vertical="center" wrapText="1"/>
    </xf>
    <xf numFmtId="0" fontId="0" fillId="0" borderId="0" xfId="0" applyBorder="1"/>
    <xf numFmtId="41" fontId="0" fillId="0" borderId="0" xfId="1" applyFont="1" applyBorder="1"/>
    <xf numFmtId="38" fontId="2" fillId="6" borderId="11" xfId="4" applyNumberFormat="1" applyFont="1" applyFill="1" applyBorder="1" applyAlignment="1">
      <alignment horizontal="center"/>
    </xf>
    <xf numFmtId="9" fontId="6" fillId="0" borderId="13" xfId="5" applyFont="1" applyFill="1" applyBorder="1" applyAlignment="1">
      <alignment horizontal="center"/>
    </xf>
    <xf numFmtId="38" fontId="6" fillId="0" borderId="14" xfId="4" applyNumberFormat="1" applyFont="1" applyFill="1" applyBorder="1"/>
    <xf numFmtId="164" fontId="2" fillId="0" borderId="14" xfId="0" applyNumberFormat="1" applyFont="1" applyBorder="1"/>
    <xf numFmtId="0" fontId="2" fillId="0" borderId="15" xfId="0" applyFont="1" applyBorder="1"/>
    <xf numFmtId="9" fontId="6" fillId="0" borderId="16" xfId="5" applyFont="1" applyFill="1" applyBorder="1" applyAlignment="1">
      <alignment horizontal="center"/>
    </xf>
    <xf numFmtId="0" fontId="0" fillId="0" borderId="17" xfId="0" applyBorder="1"/>
    <xf numFmtId="168" fontId="6" fillId="7" borderId="12" xfId="4" applyNumberFormat="1" applyFont="1" applyFill="1" applyBorder="1" applyAlignment="1">
      <alignment horizontal="center" vertical="center" wrapText="1"/>
    </xf>
    <xf numFmtId="10" fontId="2" fillId="7" borderId="10" xfId="5" applyNumberFormat="1" applyFont="1" applyFill="1" applyBorder="1" applyAlignment="1">
      <alignment horizontal="center"/>
    </xf>
    <xf numFmtId="0" fontId="0" fillId="0" borderId="4" xfId="0" quotePrefix="1" applyFill="1" applyBorder="1"/>
    <xf numFmtId="164" fontId="2" fillId="0" borderId="4" xfId="1" applyNumberFormat="1" applyFont="1" applyFill="1" applyBorder="1"/>
    <xf numFmtId="0" fontId="0" fillId="0" borderId="13" xfId="0" applyBorder="1"/>
    <xf numFmtId="0" fontId="0" fillId="0" borderId="14" xfId="0" applyBorder="1"/>
    <xf numFmtId="41" fontId="0" fillId="0" borderId="14" xfId="1" applyFont="1" applyBorder="1"/>
    <xf numFmtId="164" fontId="2" fillId="0" borderId="14" xfId="1" applyNumberFormat="1" applyFont="1" applyFill="1" applyBorder="1"/>
    <xf numFmtId="41" fontId="0" fillId="0" borderId="15" xfId="1" applyFont="1" applyBorder="1"/>
    <xf numFmtId="0" fontId="0" fillId="0" borderId="16" xfId="0" applyBorder="1"/>
    <xf numFmtId="41" fontId="0" fillId="0" borderId="17" xfId="1" applyFont="1" applyBorder="1"/>
    <xf numFmtId="0" fontId="0" fillId="0" borderId="18" xfId="0" applyBorder="1"/>
    <xf numFmtId="0" fontId="0" fillId="0" borderId="5" xfId="0" applyBorder="1"/>
    <xf numFmtId="41" fontId="0" fillId="0" borderId="5" xfId="1" applyFont="1" applyBorder="1"/>
    <xf numFmtId="164" fontId="2" fillId="0" borderId="5" xfId="1" applyNumberFormat="1" applyFont="1" applyFill="1" applyBorder="1"/>
    <xf numFmtId="41" fontId="0" fillId="0" borderId="19" xfId="1" applyFont="1" applyBorder="1"/>
    <xf numFmtId="9" fontId="6" fillId="0" borderId="0" xfId="5" applyFont="1" applyFill="1" applyBorder="1" applyAlignment="1">
      <alignment horizontal="left"/>
    </xf>
    <xf numFmtId="0" fontId="8" fillId="0" borderId="16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9" fillId="0" borderId="16" xfId="0" applyFont="1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1" fontId="6" fillId="2" borderId="18" xfId="1" applyFont="1" applyFill="1" applyBorder="1" applyAlignment="1">
      <alignment horizontal="center" vertical="center" wrapText="1"/>
    </xf>
    <xf numFmtId="41" fontId="6" fillId="2" borderId="19" xfId="1" applyFont="1" applyFill="1" applyBorder="1" applyAlignment="1">
      <alignment horizontal="center" vertical="center" wrapText="1"/>
    </xf>
    <xf numFmtId="10" fontId="11" fillId="2" borderId="18" xfId="5" applyNumberFormat="1" applyFont="1" applyFill="1" applyBorder="1" applyAlignment="1">
      <alignment horizontal="center" vertical="center" wrapText="1"/>
    </xf>
    <xf numFmtId="10" fontId="11" fillId="2" borderId="19" xfId="5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0" fontId="2" fillId="0" borderId="3" xfId="0" quotePrefix="1" applyFont="1" applyFill="1" applyBorder="1" applyAlignment="1">
      <alignment horizontal="center"/>
    </xf>
    <xf numFmtId="0" fontId="8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0" fillId="0" borderId="6" xfId="0" applyFont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4" fillId="0" borderId="0" xfId="0" applyFont="1" applyFill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1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169" fontId="2" fillId="0" borderId="0" xfId="5" applyNumberFormat="1" applyFont="1" applyFill="1"/>
    <xf numFmtId="0" fontId="2" fillId="0" borderId="0" xfId="0" applyFont="1" applyFill="1"/>
    <xf numFmtId="0" fontId="12" fillId="0" borderId="0" xfId="0" applyFont="1" applyFill="1" applyAlignment="1">
      <alignment horizontal="left"/>
    </xf>
  </cellXfs>
  <cellStyles count="6">
    <cellStyle name="Millares" xfId="4" builtinId="3"/>
    <cellStyle name="Millares [0]" xfId="1" builtinId="6"/>
    <cellStyle name="Millares [0] 2" xfId="3"/>
    <cellStyle name="Millares [0] 3" xfId="2"/>
    <cellStyle name="Normal" xfId="0" builtinId="0"/>
    <cellStyle name="Porcentaje" xfId="5" builtinId="5"/>
  </cellStyles>
  <dxfs count="1">
    <dxf>
      <fill>
        <patternFill patternType="solid">
          <fgColor rgb="FFA9D08E"/>
          <bgColor rgb="FF0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180976</xdr:colOff>
      <xdr:row>0</xdr:row>
      <xdr:rowOff>95251</xdr:rowOff>
    </xdr:from>
    <xdr:to>
      <xdr:col>0</xdr:col>
      <xdr:colOff>621617</xdr:colOff>
      <xdr:row>2</xdr:row>
      <xdr:rowOff>171451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6" y="95251"/>
          <a:ext cx="440641" cy="5715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173</xdr:row>
          <xdr:rowOff>0</xdr:rowOff>
        </xdr:from>
        <xdr:to>
          <xdr:col>2</xdr:col>
          <xdr:colOff>590550</xdr:colOff>
          <xdr:row>178</xdr:row>
          <xdr:rowOff>57150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T/Documents/SOPORTES%20RESERVA%20PPTAL%20%202018/RESERVA%20PPTAL%202018%20-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OLIDADO RESERVA"/>
      <sheetName val="PPTO 2018"/>
      <sheetName val="vigencias expiradas"/>
      <sheetName val="Hoja4"/>
      <sheetName val="codificacion"/>
      <sheetName val="CONV-INVESTIGACIONES"/>
      <sheetName val="REGALIAS "/>
      <sheetName val="RESOLUCION 1755-17"/>
      <sheetName val="ORDENES DE COMPRA"/>
      <sheetName val="FACEA"/>
      <sheetName val="IDEAD"/>
    </sheetNames>
    <sheetDataSet>
      <sheetData sheetId="0"/>
      <sheetData sheetId="1"/>
      <sheetData sheetId="2"/>
      <sheetData sheetId="3"/>
      <sheetData sheetId="4"/>
      <sheetData sheetId="5">
        <row r="2">
          <cell r="G2">
            <v>60101</v>
          </cell>
          <cell r="L2">
            <v>1102000</v>
          </cell>
        </row>
        <row r="3">
          <cell r="G3">
            <v>60101</v>
          </cell>
          <cell r="L3">
            <v>2400000</v>
          </cell>
        </row>
        <row r="4">
          <cell r="G4">
            <v>60101</v>
          </cell>
          <cell r="L4">
            <v>3773679</v>
          </cell>
        </row>
        <row r="5">
          <cell r="G5">
            <v>60101</v>
          </cell>
          <cell r="L5">
            <v>4583300</v>
          </cell>
        </row>
        <row r="6">
          <cell r="G6">
            <v>60101</v>
          </cell>
          <cell r="L6">
            <v>1000000</v>
          </cell>
        </row>
        <row r="7">
          <cell r="G7">
            <v>60101</v>
          </cell>
          <cell r="L7">
            <v>7000000</v>
          </cell>
        </row>
        <row r="8">
          <cell r="G8">
            <v>60101</v>
          </cell>
          <cell r="L8">
            <v>940100</v>
          </cell>
        </row>
        <row r="9">
          <cell r="G9">
            <v>60101</v>
          </cell>
          <cell r="L9">
            <v>4000000</v>
          </cell>
        </row>
        <row r="10">
          <cell r="G10">
            <v>60101</v>
          </cell>
          <cell r="L10">
            <v>2588250</v>
          </cell>
        </row>
        <row r="11">
          <cell r="G11">
            <v>60101</v>
          </cell>
          <cell r="L11">
            <v>2072385</v>
          </cell>
        </row>
        <row r="12">
          <cell r="G12">
            <v>60101</v>
          </cell>
          <cell r="L12">
            <v>22088000</v>
          </cell>
        </row>
        <row r="13">
          <cell r="G13">
            <v>60101</v>
          </cell>
          <cell r="L13">
            <v>3900000</v>
          </cell>
        </row>
        <row r="14">
          <cell r="G14">
            <v>60101</v>
          </cell>
          <cell r="L14">
            <v>5200000</v>
          </cell>
        </row>
        <row r="15">
          <cell r="G15">
            <v>60101</v>
          </cell>
          <cell r="L15">
            <v>13000000</v>
          </cell>
        </row>
        <row r="16">
          <cell r="G16">
            <v>60101</v>
          </cell>
          <cell r="L16">
            <v>4050000</v>
          </cell>
        </row>
        <row r="17">
          <cell r="G17">
            <v>60101</v>
          </cell>
          <cell r="L17">
            <v>5500000</v>
          </cell>
        </row>
        <row r="18">
          <cell r="G18">
            <v>60101</v>
          </cell>
          <cell r="L18">
            <v>5974744</v>
          </cell>
        </row>
        <row r="19">
          <cell r="G19">
            <v>60101</v>
          </cell>
          <cell r="L19">
            <v>23320457</v>
          </cell>
        </row>
        <row r="20">
          <cell r="G20">
            <v>60101</v>
          </cell>
          <cell r="L20">
            <v>4000000</v>
          </cell>
        </row>
        <row r="21">
          <cell r="G21">
            <v>60101</v>
          </cell>
          <cell r="L21">
            <v>2000000</v>
          </cell>
        </row>
        <row r="22">
          <cell r="G22">
            <v>60101</v>
          </cell>
          <cell r="L22">
            <v>2000000</v>
          </cell>
        </row>
        <row r="23">
          <cell r="G23">
            <v>60101</v>
          </cell>
          <cell r="L23">
            <v>7000000</v>
          </cell>
        </row>
        <row r="24">
          <cell r="G24">
            <v>60101</v>
          </cell>
          <cell r="L24">
            <v>3400000</v>
          </cell>
        </row>
        <row r="25">
          <cell r="G25">
            <v>60101</v>
          </cell>
          <cell r="L25">
            <v>4500000</v>
          </cell>
        </row>
        <row r="26">
          <cell r="G26">
            <v>60101</v>
          </cell>
          <cell r="L26">
            <v>6949612</v>
          </cell>
        </row>
        <row r="27">
          <cell r="G27">
            <v>60101</v>
          </cell>
          <cell r="L27">
            <v>1095000</v>
          </cell>
        </row>
        <row r="28">
          <cell r="G28">
            <v>60101</v>
          </cell>
          <cell r="L28">
            <v>348132</v>
          </cell>
        </row>
        <row r="29">
          <cell r="G29">
            <v>60101</v>
          </cell>
          <cell r="L29">
            <v>4748100</v>
          </cell>
        </row>
        <row r="30">
          <cell r="G30">
            <v>60101</v>
          </cell>
          <cell r="L30">
            <v>5893951</v>
          </cell>
        </row>
        <row r="31">
          <cell r="G31">
            <v>60101</v>
          </cell>
          <cell r="L31">
            <v>1000000</v>
          </cell>
        </row>
        <row r="32">
          <cell r="G32">
            <v>60101</v>
          </cell>
          <cell r="L32">
            <v>12465091</v>
          </cell>
        </row>
        <row r="33">
          <cell r="G33">
            <v>60101</v>
          </cell>
          <cell r="L33">
            <v>1197078</v>
          </cell>
        </row>
        <row r="34">
          <cell r="G34">
            <v>60101</v>
          </cell>
          <cell r="L34">
            <v>11900000</v>
          </cell>
        </row>
        <row r="35">
          <cell r="G35">
            <v>60101</v>
          </cell>
          <cell r="L35">
            <v>10000000</v>
          </cell>
        </row>
        <row r="36">
          <cell r="G36">
            <v>60101</v>
          </cell>
          <cell r="L36">
            <v>11102700</v>
          </cell>
        </row>
        <row r="37">
          <cell r="G37">
            <v>60101</v>
          </cell>
          <cell r="L37">
            <v>17000000</v>
          </cell>
        </row>
        <row r="38">
          <cell r="G38">
            <v>60101</v>
          </cell>
          <cell r="L38">
            <v>6000000</v>
          </cell>
        </row>
        <row r="39">
          <cell r="G39">
            <v>60101</v>
          </cell>
          <cell r="L39">
            <v>3600000</v>
          </cell>
        </row>
        <row r="40">
          <cell r="G40">
            <v>60101</v>
          </cell>
          <cell r="L40">
            <v>35290000</v>
          </cell>
        </row>
        <row r="41">
          <cell r="G41">
            <v>60101</v>
          </cell>
          <cell r="L41">
            <v>4000000</v>
          </cell>
        </row>
        <row r="42">
          <cell r="G42">
            <v>60101</v>
          </cell>
          <cell r="L42">
            <v>4000000</v>
          </cell>
        </row>
        <row r="43">
          <cell r="G43">
            <v>60101</v>
          </cell>
          <cell r="L43">
            <v>10623120</v>
          </cell>
        </row>
        <row r="44">
          <cell r="G44">
            <v>60101</v>
          </cell>
          <cell r="L44">
            <v>4520000</v>
          </cell>
        </row>
        <row r="45">
          <cell r="G45">
            <v>60101</v>
          </cell>
          <cell r="L45">
            <v>3120000</v>
          </cell>
        </row>
        <row r="46">
          <cell r="G46">
            <v>60101</v>
          </cell>
          <cell r="L46">
            <v>3120000</v>
          </cell>
        </row>
        <row r="47">
          <cell r="G47">
            <v>60101</v>
          </cell>
          <cell r="L47">
            <v>3120000</v>
          </cell>
        </row>
        <row r="48">
          <cell r="G48">
            <v>60101</v>
          </cell>
          <cell r="L48">
            <v>3070000</v>
          </cell>
        </row>
        <row r="49">
          <cell r="G49">
            <v>60101</v>
          </cell>
          <cell r="L49">
            <v>473067</v>
          </cell>
        </row>
        <row r="50">
          <cell r="G50">
            <v>60101</v>
          </cell>
          <cell r="L50">
            <v>1915199</v>
          </cell>
        </row>
        <row r="51">
          <cell r="G51">
            <v>60101</v>
          </cell>
          <cell r="L51">
            <v>2145570</v>
          </cell>
        </row>
        <row r="52">
          <cell r="G52">
            <v>60101</v>
          </cell>
          <cell r="L52">
            <v>2380000</v>
          </cell>
        </row>
        <row r="53">
          <cell r="G53">
            <v>60101</v>
          </cell>
          <cell r="L53">
            <v>1043630</v>
          </cell>
        </row>
        <row r="54">
          <cell r="G54">
            <v>60101</v>
          </cell>
          <cell r="L54">
            <v>215840</v>
          </cell>
        </row>
        <row r="55">
          <cell r="G55">
            <v>60101</v>
          </cell>
          <cell r="L55">
            <v>12000000</v>
          </cell>
        </row>
        <row r="56">
          <cell r="G56">
            <v>60101</v>
          </cell>
          <cell r="L56">
            <v>5901736</v>
          </cell>
        </row>
        <row r="57">
          <cell r="G57">
            <v>60102</v>
          </cell>
          <cell r="L57">
            <v>39151000</v>
          </cell>
        </row>
        <row r="58">
          <cell r="G58">
            <v>60102</v>
          </cell>
          <cell r="L58">
            <v>14400000</v>
          </cell>
        </row>
        <row r="59">
          <cell r="G59">
            <v>60102</v>
          </cell>
          <cell r="L59">
            <v>28800000</v>
          </cell>
        </row>
        <row r="60">
          <cell r="G60">
            <v>60102</v>
          </cell>
          <cell r="L60">
            <v>500000</v>
          </cell>
        </row>
        <row r="61">
          <cell r="G61">
            <v>60102</v>
          </cell>
          <cell r="L61">
            <v>89500</v>
          </cell>
        </row>
        <row r="62">
          <cell r="G62">
            <v>60103</v>
          </cell>
          <cell r="L62">
            <v>2514778</v>
          </cell>
        </row>
        <row r="63">
          <cell r="G63">
            <v>60103</v>
          </cell>
          <cell r="L63">
            <v>1400000</v>
          </cell>
        </row>
        <row r="64">
          <cell r="G64">
            <v>60103</v>
          </cell>
          <cell r="L64">
            <v>559786</v>
          </cell>
        </row>
        <row r="65">
          <cell r="G65">
            <v>60103</v>
          </cell>
          <cell r="L65">
            <v>3703426</v>
          </cell>
        </row>
        <row r="66">
          <cell r="G66">
            <v>60103</v>
          </cell>
          <cell r="L66">
            <v>853222</v>
          </cell>
        </row>
        <row r="67">
          <cell r="G67">
            <v>60103</v>
          </cell>
          <cell r="L67">
            <v>420000</v>
          </cell>
        </row>
        <row r="68">
          <cell r="G68">
            <v>60103</v>
          </cell>
          <cell r="L68">
            <v>543830</v>
          </cell>
        </row>
        <row r="69">
          <cell r="G69">
            <v>60104</v>
          </cell>
          <cell r="L69">
            <v>2972620</v>
          </cell>
        </row>
        <row r="70">
          <cell r="G70">
            <v>60104</v>
          </cell>
          <cell r="L70">
            <v>3300000</v>
          </cell>
        </row>
        <row r="71">
          <cell r="G71">
            <v>60104</v>
          </cell>
          <cell r="L71">
            <v>725221</v>
          </cell>
        </row>
        <row r="72">
          <cell r="G72">
            <v>60104</v>
          </cell>
          <cell r="L72">
            <v>299880</v>
          </cell>
        </row>
        <row r="73">
          <cell r="G73">
            <v>60104</v>
          </cell>
          <cell r="L73">
            <v>1632561</v>
          </cell>
        </row>
        <row r="74">
          <cell r="G74">
            <v>60104</v>
          </cell>
          <cell r="L74">
            <v>4864652</v>
          </cell>
        </row>
        <row r="75">
          <cell r="G75">
            <v>60104</v>
          </cell>
          <cell r="L75">
            <v>286790</v>
          </cell>
        </row>
        <row r="76">
          <cell r="G76">
            <v>60104</v>
          </cell>
          <cell r="L76">
            <v>3028074</v>
          </cell>
        </row>
        <row r="77">
          <cell r="G77">
            <v>60104</v>
          </cell>
          <cell r="L77">
            <v>778480</v>
          </cell>
        </row>
        <row r="78">
          <cell r="G78">
            <v>60104</v>
          </cell>
          <cell r="L78">
            <v>2615382</v>
          </cell>
        </row>
        <row r="79">
          <cell r="G79">
            <v>60104</v>
          </cell>
          <cell r="L79">
            <v>555000</v>
          </cell>
        </row>
        <row r="80">
          <cell r="G80">
            <v>60104</v>
          </cell>
          <cell r="L80">
            <v>287633</v>
          </cell>
        </row>
        <row r="81">
          <cell r="G81">
            <v>60104</v>
          </cell>
          <cell r="L81">
            <v>2258620</v>
          </cell>
        </row>
        <row r="82">
          <cell r="G82">
            <v>60104</v>
          </cell>
          <cell r="L82">
            <v>2200000</v>
          </cell>
        </row>
        <row r="83">
          <cell r="G83">
            <v>60104</v>
          </cell>
          <cell r="L83">
            <v>34200000</v>
          </cell>
        </row>
        <row r="84">
          <cell r="G84">
            <v>60104</v>
          </cell>
          <cell r="L84">
            <v>2024500</v>
          </cell>
        </row>
        <row r="85">
          <cell r="G85">
            <v>60105</v>
          </cell>
          <cell r="L85">
            <v>1600000</v>
          </cell>
        </row>
        <row r="86">
          <cell r="G86">
            <v>60105</v>
          </cell>
          <cell r="L86">
            <v>9200000</v>
          </cell>
        </row>
        <row r="87">
          <cell r="G87">
            <v>60105</v>
          </cell>
          <cell r="L87">
            <v>1600000</v>
          </cell>
        </row>
        <row r="88">
          <cell r="G88">
            <v>60105</v>
          </cell>
          <cell r="L88">
            <v>4600000</v>
          </cell>
        </row>
        <row r="89">
          <cell r="G89">
            <v>60105</v>
          </cell>
          <cell r="L89">
            <v>4600000</v>
          </cell>
        </row>
        <row r="90">
          <cell r="G90">
            <v>60105</v>
          </cell>
          <cell r="L90">
            <v>4600000</v>
          </cell>
        </row>
        <row r="91">
          <cell r="G91">
            <v>60105</v>
          </cell>
          <cell r="L91">
            <v>2300000</v>
          </cell>
        </row>
        <row r="92">
          <cell r="G92">
            <v>60105</v>
          </cell>
          <cell r="L92">
            <v>6900000</v>
          </cell>
        </row>
        <row r="93">
          <cell r="G93">
            <v>60105</v>
          </cell>
          <cell r="L93">
            <v>6900000</v>
          </cell>
        </row>
        <row r="94">
          <cell r="G94">
            <v>60105</v>
          </cell>
          <cell r="L94">
            <v>4600000</v>
          </cell>
        </row>
        <row r="95">
          <cell r="G95">
            <v>60105</v>
          </cell>
          <cell r="L95">
            <v>6900000</v>
          </cell>
        </row>
        <row r="96">
          <cell r="G96">
            <v>60106</v>
          </cell>
          <cell r="L96">
            <v>1000000</v>
          </cell>
        </row>
        <row r="97">
          <cell r="G97">
            <v>60106</v>
          </cell>
          <cell r="L97">
            <v>2666668</v>
          </cell>
        </row>
        <row r="98">
          <cell r="G98">
            <v>60106</v>
          </cell>
          <cell r="L98">
            <v>14700000</v>
          </cell>
        </row>
        <row r="99">
          <cell r="G99">
            <v>60106</v>
          </cell>
          <cell r="L99">
            <v>5000000</v>
          </cell>
        </row>
        <row r="100">
          <cell r="G100">
            <v>60106</v>
          </cell>
          <cell r="L100">
            <v>26324749</v>
          </cell>
        </row>
        <row r="101">
          <cell r="G101">
            <v>60106</v>
          </cell>
          <cell r="L101">
            <v>14539176.039999999</v>
          </cell>
        </row>
        <row r="102">
          <cell r="G102">
            <v>60106</v>
          </cell>
          <cell r="L102">
            <v>186431668.90000001</v>
          </cell>
        </row>
        <row r="103">
          <cell r="G103">
            <v>60106</v>
          </cell>
          <cell r="L103">
            <v>74060399</v>
          </cell>
        </row>
        <row r="104">
          <cell r="G104">
            <v>60106</v>
          </cell>
          <cell r="L104">
            <v>14490000</v>
          </cell>
        </row>
        <row r="105">
          <cell r="G105">
            <v>60106</v>
          </cell>
          <cell r="L105">
            <v>21111774</v>
          </cell>
        </row>
        <row r="106">
          <cell r="G106">
            <v>60106</v>
          </cell>
          <cell r="L106">
            <v>3000000</v>
          </cell>
        </row>
        <row r="107">
          <cell r="G107">
            <v>60106</v>
          </cell>
          <cell r="L107">
            <v>4500000</v>
          </cell>
        </row>
        <row r="108">
          <cell r="G108">
            <v>60106</v>
          </cell>
          <cell r="L108">
            <v>2800000</v>
          </cell>
        </row>
        <row r="109">
          <cell r="G109">
            <v>60106</v>
          </cell>
          <cell r="L109">
            <v>2500000</v>
          </cell>
        </row>
        <row r="110">
          <cell r="G110">
            <v>60106</v>
          </cell>
          <cell r="L110">
            <v>1750000</v>
          </cell>
        </row>
        <row r="111">
          <cell r="G111">
            <v>60106</v>
          </cell>
          <cell r="L111">
            <v>1831000</v>
          </cell>
        </row>
        <row r="112">
          <cell r="G112">
            <v>60106</v>
          </cell>
          <cell r="L112">
            <v>1750000</v>
          </cell>
        </row>
        <row r="113">
          <cell r="G113">
            <v>60106</v>
          </cell>
          <cell r="L113">
            <v>5250000</v>
          </cell>
        </row>
        <row r="114">
          <cell r="G114">
            <v>60106</v>
          </cell>
          <cell r="L114">
            <v>1100000</v>
          </cell>
        </row>
        <row r="115">
          <cell r="G115">
            <v>60106</v>
          </cell>
          <cell r="L115">
            <v>27169422</v>
          </cell>
        </row>
        <row r="116">
          <cell r="G116">
            <v>60106</v>
          </cell>
          <cell r="L116">
            <v>33515500</v>
          </cell>
        </row>
        <row r="117">
          <cell r="G117">
            <v>60106</v>
          </cell>
          <cell r="L117">
            <v>9500000</v>
          </cell>
        </row>
        <row r="118">
          <cell r="G118">
            <v>60106</v>
          </cell>
          <cell r="L118">
            <v>13110926</v>
          </cell>
        </row>
        <row r="119">
          <cell r="G119">
            <v>60106</v>
          </cell>
          <cell r="L119">
            <v>24200000</v>
          </cell>
        </row>
        <row r="120">
          <cell r="G120">
            <v>60106</v>
          </cell>
          <cell r="L120">
            <v>26250676</v>
          </cell>
        </row>
        <row r="121">
          <cell r="G121">
            <v>60106</v>
          </cell>
          <cell r="L121">
            <v>4669735</v>
          </cell>
        </row>
        <row r="122">
          <cell r="G122">
            <v>60106</v>
          </cell>
          <cell r="L122">
            <v>32800000</v>
          </cell>
        </row>
        <row r="123">
          <cell r="G123">
            <v>60106</v>
          </cell>
          <cell r="L123">
            <v>52752700</v>
          </cell>
        </row>
        <row r="124">
          <cell r="G124">
            <v>60107</v>
          </cell>
          <cell r="L124">
            <v>14666670</v>
          </cell>
        </row>
        <row r="125">
          <cell r="G125">
            <v>60107</v>
          </cell>
          <cell r="L125">
            <v>18772883</v>
          </cell>
        </row>
        <row r="126">
          <cell r="G126">
            <v>60107</v>
          </cell>
          <cell r="L126">
            <v>6000000</v>
          </cell>
        </row>
        <row r="127">
          <cell r="G127">
            <v>60107</v>
          </cell>
          <cell r="L127">
            <v>1000000</v>
          </cell>
        </row>
        <row r="128">
          <cell r="G128">
            <v>60107</v>
          </cell>
          <cell r="L128">
            <v>22500000</v>
          </cell>
        </row>
        <row r="129">
          <cell r="G129">
            <v>60107</v>
          </cell>
          <cell r="L129">
            <v>17500000</v>
          </cell>
        </row>
        <row r="130">
          <cell r="G130">
            <v>60107</v>
          </cell>
          <cell r="L130">
            <v>10500000</v>
          </cell>
        </row>
        <row r="131">
          <cell r="G131">
            <v>60107</v>
          </cell>
          <cell r="L131">
            <v>8000000</v>
          </cell>
        </row>
        <row r="132">
          <cell r="G132">
            <v>60107</v>
          </cell>
          <cell r="L132">
            <v>6000000</v>
          </cell>
        </row>
        <row r="133">
          <cell r="G133">
            <v>60107</v>
          </cell>
          <cell r="L133">
            <v>6000000</v>
          </cell>
        </row>
        <row r="134">
          <cell r="G134">
            <v>60107</v>
          </cell>
          <cell r="L134">
            <v>3200000</v>
          </cell>
        </row>
        <row r="135">
          <cell r="G135">
            <v>60107</v>
          </cell>
          <cell r="L135">
            <v>2400000</v>
          </cell>
        </row>
        <row r="136">
          <cell r="G136">
            <v>60107</v>
          </cell>
          <cell r="L136">
            <v>2400000</v>
          </cell>
        </row>
        <row r="137">
          <cell r="G137">
            <v>60107</v>
          </cell>
          <cell r="L137">
            <v>2100000</v>
          </cell>
        </row>
        <row r="138">
          <cell r="G138">
            <v>60107</v>
          </cell>
          <cell r="L138">
            <v>1803270</v>
          </cell>
        </row>
        <row r="139">
          <cell r="G139">
            <v>60107</v>
          </cell>
          <cell r="L139">
            <v>14000000</v>
          </cell>
        </row>
        <row r="140">
          <cell r="G140">
            <v>60107</v>
          </cell>
          <cell r="L140">
            <v>2500000</v>
          </cell>
        </row>
        <row r="141">
          <cell r="G141">
            <v>60107</v>
          </cell>
          <cell r="L141">
            <v>6900000</v>
          </cell>
        </row>
        <row r="142">
          <cell r="G142">
            <v>60107</v>
          </cell>
          <cell r="L142">
            <v>1270264</v>
          </cell>
        </row>
        <row r="143">
          <cell r="G143">
            <v>60107</v>
          </cell>
          <cell r="L143">
            <v>9000000</v>
          </cell>
        </row>
        <row r="144">
          <cell r="G144">
            <v>60107</v>
          </cell>
          <cell r="L144">
            <v>909500</v>
          </cell>
        </row>
        <row r="145">
          <cell r="G145">
            <v>60107</v>
          </cell>
          <cell r="L145">
            <v>4438700</v>
          </cell>
        </row>
        <row r="146">
          <cell r="G146">
            <v>60107</v>
          </cell>
          <cell r="L146">
            <v>3948420</v>
          </cell>
        </row>
        <row r="147">
          <cell r="G147">
            <v>60107</v>
          </cell>
          <cell r="L147">
            <v>600000</v>
          </cell>
        </row>
        <row r="148">
          <cell r="G148">
            <v>60107</v>
          </cell>
          <cell r="L148">
            <v>5600000</v>
          </cell>
        </row>
        <row r="149">
          <cell r="G149">
            <v>60107</v>
          </cell>
          <cell r="L149">
            <v>164730354</v>
          </cell>
        </row>
        <row r="150">
          <cell r="G150">
            <v>60107</v>
          </cell>
          <cell r="L150">
            <v>65000000</v>
          </cell>
        </row>
        <row r="151">
          <cell r="G151">
            <v>60107</v>
          </cell>
          <cell r="L151">
            <v>3720000</v>
          </cell>
        </row>
        <row r="152">
          <cell r="G152">
            <v>60107</v>
          </cell>
          <cell r="L152">
            <v>733278</v>
          </cell>
        </row>
        <row r="153">
          <cell r="G153">
            <v>60107</v>
          </cell>
          <cell r="L153">
            <v>800000</v>
          </cell>
        </row>
        <row r="154">
          <cell r="G154">
            <v>60107</v>
          </cell>
          <cell r="L154">
            <v>800000</v>
          </cell>
        </row>
        <row r="155">
          <cell r="G155">
            <v>60107</v>
          </cell>
          <cell r="L155">
            <v>3240000</v>
          </cell>
        </row>
        <row r="156">
          <cell r="G156">
            <v>60107</v>
          </cell>
          <cell r="L156">
            <v>3240000</v>
          </cell>
        </row>
        <row r="157">
          <cell r="G157">
            <v>60107</v>
          </cell>
          <cell r="L157">
            <v>2300000</v>
          </cell>
        </row>
        <row r="158">
          <cell r="G158">
            <v>60107</v>
          </cell>
          <cell r="L158">
            <v>2300000</v>
          </cell>
        </row>
        <row r="159">
          <cell r="G159">
            <v>60107</v>
          </cell>
          <cell r="L159">
            <v>10000000</v>
          </cell>
        </row>
        <row r="160">
          <cell r="G160">
            <v>60107</v>
          </cell>
          <cell r="L160">
            <v>726000</v>
          </cell>
        </row>
        <row r="161">
          <cell r="G161">
            <v>60107</v>
          </cell>
          <cell r="L161">
            <v>2109037</v>
          </cell>
        </row>
        <row r="162">
          <cell r="G162">
            <v>60107</v>
          </cell>
          <cell r="L162">
            <v>6126495</v>
          </cell>
        </row>
        <row r="163">
          <cell r="G163">
            <v>60107</v>
          </cell>
          <cell r="L163">
            <v>2698980</v>
          </cell>
        </row>
        <row r="164">
          <cell r="G164">
            <v>60107</v>
          </cell>
          <cell r="L164">
            <v>10000000</v>
          </cell>
        </row>
        <row r="165">
          <cell r="G165">
            <v>60107</v>
          </cell>
          <cell r="L165">
            <v>3500000</v>
          </cell>
        </row>
        <row r="166">
          <cell r="G166">
            <v>60107</v>
          </cell>
          <cell r="L166">
            <v>14752200</v>
          </cell>
        </row>
        <row r="167">
          <cell r="G167">
            <v>60107</v>
          </cell>
          <cell r="L167">
            <v>11945339</v>
          </cell>
        </row>
        <row r="168">
          <cell r="G168">
            <v>60107</v>
          </cell>
          <cell r="L168">
            <v>11232083</v>
          </cell>
        </row>
        <row r="169">
          <cell r="G169">
            <v>60107</v>
          </cell>
          <cell r="L169">
            <v>805511</v>
          </cell>
        </row>
        <row r="170">
          <cell r="G170">
            <v>60107</v>
          </cell>
          <cell r="L170">
            <v>3891300</v>
          </cell>
        </row>
        <row r="171">
          <cell r="G171">
            <v>60107</v>
          </cell>
          <cell r="L171">
            <v>1735000</v>
          </cell>
        </row>
        <row r="172">
          <cell r="G172">
            <v>60107</v>
          </cell>
          <cell r="L172">
            <v>48000000</v>
          </cell>
        </row>
        <row r="173">
          <cell r="G173">
            <v>60107</v>
          </cell>
          <cell r="L173">
            <v>1279398</v>
          </cell>
        </row>
        <row r="174">
          <cell r="G174">
            <v>60107</v>
          </cell>
          <cell r="L174">
            <v>80533997</v>
          </cell>
        </row>
        <row r="175">
          <cell r="G175">
            <v>60107</v>
          </cell>
          <cell r="L175">
            <v>42695889</v>
          </cell>
        </row>
        <row r="176">
          <cell r="G176">
            <v>60107</v>
          </cell>
          <cell r="L176">
            <v>1699320</v>
          </cell>
        </row>
        <row r="177">
          <cell r="G177">
            <v>60107</v>
          </cell>
          <cell r="L177">
            <v>577150</v>
          </cell>
        </row>
        <row r="178">
          <cell r="G178">
            <v>60107</v>
          </cell>
          <cell r="L178">
            <v>2538500</v>
          </cell>
        </row>
        <row r="179">
          <cell r="G179">
            <v>60107</v>
          </cell>
          <cell r="L179">
            <v>2538500</v>
          </cell>
        </row>
        <row r="180">
          <cell r="G180">
            <v>60107</v>
          </cell>
          <cell r="L180">
            <v>1213800</v>
          </cell>
        </row>
        <row r="181">
          <cell r="G181">
            <v>60107</v>
          </cell>
          <cell r="L181">
            <v>1400000</v>
          </cell>
        </row>
        <row r="182">
          <cell r="G182">
            <v>60107</v>
          </cell>
          <cell r="L182">
            <v>3200000</v>
          </cell>
        </row>
        <row r="183">
          <cell r="G183">
            <v>60107</v>
          </cell>
          <cell r="L183">
            <v>2206722</v>
          </cell>
        </row>
        <row r="184">
          <cell r="G184">
            <v>60107</v>
          </cell>
          <cell r="L184">
            <v>1113602</v>
          </cell>
        </row>
        <row r="185">
          <cell r="G185">
            <v>60107</v>
          </cell>
          <cell r="L185">
            <v>701743</v>
          </cell>
        </row>
        <row r="186">
          <cell r="G186">
            <v>60107</v>
          </cell>
          <cell r="L186">
            <v>1606500</v>
          </cell>
        </row>
        <row r="187">
          <cell r="G187">
            <v>60107</v>
          </cell>
          <cell r="L187">
            <v>3324860</v>
          </cell>
        </row>
        <row r="188">
          <cell r="G188">
            <v>60107</v>
          </cell>
          <cell r="L188">
            <v>1113126</v>
          </cell>
        </row>
        <row r="189">
          <cell r="G189">
            <v>60107</v>
          </cell>
          <cell r="L189">
            <v>1812370</v>
          </cell>
        </row>
        <row r="190">
          <cell r="G190">
            <v>60107</v>
          </cell>
          <cell r="L190">
            <v>472192</v>
          </cell>
        </row>
        <row r="191">
          <cell r="G191">
            <v>60107</v>
          </cell>
          <cell r="L191">
            <v>2300000</v>
          </cell>
        </row>
        <row r="192">
          <cell r="G192">
            <v>60108</v>
          </cell>
          <cell r="L192">
            <v>3787497</v>
          </cell>
        </row>
        <row r="193">
          <cell r="G193">
            <v>60108</v>
          </cell>
          <cell r="L193">
            <v>3787497</v>
          </cell>
        </row>
        <row r="194">
          <cell r="G194">
            <v>60108</v>
          </cell>
          <cell r="L194">
            <v>3000000</v>
          </cell>
        </row>
        <row r="195">
          <cell r="G195">
            <v>60109</v>
          </cell>
          <cell r="L195">
            <v>3343602</v>
          </cell>
        </row>
        <row r="196">
          <cell r="G196">
            <v>60109</v>
          </cell>
          <cell r="L196">
            <v>4700000</v>
          </cell>
        </row>
        <row r="197">
          <cell r="G197">
            <v>60109</v>
          </cell>
          <cell r="L197">
            <v>73400000</v>
          </cell>
        </row>
        <row r="198">
          <cell r="G198">
            <v>60109</v>
          </cell>
          <cell r="L198">
            <v>8000000</v>
          </cell>
        </row>
        <row r="199">
          <cell r="G199">
            <v>60109</v>
          </cell>
          <cell r="L199">
            <v>1100000</v>
          </cell>
        </row>
        <row r="200">
          <cell r="G200">
            <v>60109</v>
          </cell>
          <cell r="L200">
            <v>1000000</v>
          </cell>
        </row>
        <row r="201">
          <cell r="G201">
            <v>60109</v>
          </cell>
          <cell r="L201">
            <v>2600000</v>
          </cell>
        </row>
        <row r="202">
          <cell r="G202">
            <v>60109</v>
          </cell>
          <cell r="L202">
            <v>515850</v>
          </cell>
        </row>
        <row r="203">
          <cell r="G203">
            <v>60109</v>
          </cell>
          <cell r="L203">
            <v>4900000</v>
          </cell>
        </row>
        <row r="204">
          <cell r="G204">
            <v>60109</v>
          </cell>
          <cell r="L204">
            <v>2400000</v>
          </cell>
        </row>
        <row r="205">
          <cell r="G205">
            <v>60109</v>
          </cell>
          <cell r="L205">
            <v>2400000</v>
          </cell>
        </row>
        <row r="206">
          <cell r="G206">
            <v>60109</v>
          </cell>
          <cell r="L206">
            <v>731850</v>
          </cell>
        </row>
        <row r="207">
          <cell r="G207">
            <v>60109</v>
          </cell>
          <cell r="L207">
            <v>2424000</v>
          </cell>
        </row>
        <row r="208">
          <cell r="G208">
            <v>60109</v>
          </cell>
          <cell r="L208" t="str">
            <v>1.135.928</v>
          </cell>
        </row>
        <row r="209">
          <cell r="G209">
            <v>60109</v>
          </cell>
          <cell r="L209">
            <v>251923</v>
          </cell>
        </row>
        <row r="210">
          <cell r="G210">
            <v>60109</v>
          </cell>
          <cell r="L210">
            <v>3492270</v>
          </cell>
        </row>
        <row r="211">
          <cell r="G211">
            <v>60109</v>
          </cell>
          <cell r="L211">
            <v>664040</v>
          </cell>
        </row>
        <row r="212">
          <cell r="G212">
            <v>60109</v>
          </cell>
          <cell r="L212" t="str">
            <v>1.542.192</v>
          </cell>
        </row>
        <row r="213">
          <cell r="G213">
            <v>60109</v>
          </cell>
          <cell r="L213">
            <v>716975</v>
          </cell>
        </row>
        <row r="214">
          <cell r="G214">
            <v>60109</v>
          </cell>
          <cell r="L214">
            <v>1381840</v>
          </cell>
        </row>
        <row r="215">
          <cell r="G215">
            <v>60109</v>
          </cell>
          <cell r="L215">
            <v>1439305</v>
          </cell>
        </row>
        <row r="216">
          <cell r="G216">
            <v>60109</v>
          </cell>
          <cell r="L216">
            <v>8944047</v>
          </cell>
        </row>
        <row r="217">
          <cell r="G217">
            <v>60109</v>
          </cell>
          <cell r="L217">
            <v>588657</v>
          </cell>
        </row>
        <row r="218">
          <cell r="G218">
            <v>60109</v>
          </cell>
          <cell r="L218">
            <v>773500</v>
          </cell>
        </row>
        <row r="219">
          <cell r="G219">
            <v>60109</v>
          </cell>
          <cell r="L219">
            <v>4800000</v>
          </cell>
        </row>
        <row r="220">
          <cell r="G220">
            <v>60109</v>
          </cell>
          <cell r="L220">
            <v>126854</v>
          </cell>
        </row>
        <row r="221">
          <cell r="G221">
            <v>60109</v>
          </cell>
          <cell r="L221">
            <v>1136450</v>
          </cell>
        </row>
        <row r="222">
          <cell r="G222">
            <v>60109</v>
          </cell>
          <cell r="L222">
            <v>546210</v>
          </cell>
        </row>
        <row r="223">
          <cell r="G223">
            <v>60109</v>
          </cell>
          <cell r="L223">
            <v>440000</v>
          </cell>
        </row>
        <row r="224">
          <cell r="G224">
            <v>60109</v>
          </cell>
          <cell r="L224">
            <v>248000</v>
          </cell>
        </row>
        <row r="225">
          <cell r="G225">
            <v>60201</v>
          </cell>
          <cell r="L225">
            <v>23569000</v>
          </cell>
        </row>
        <row r="226">
          <cell r="G226">
            <v>60201</v>
          </cell>
          <cell r="L226">
            <v>30000000</v>
          </cell>
        </row>
        <row r="227">
          <cell r="G227">
            <v>60201</v>
          </cell>
          <cell r="L227">
            <v>3360000</v>
          </cell>
        </row>
        <row r="228">
          <cell r="G228">
            <v>60201</v>
          </cell>
          <cell r="L228">
            <v>18000000</v>
          </cell>
        </row>
        <row r="229">
          <cell r="G229">
            <v>60201</v>
          </cell>
          <cell r="L229">
            <v>168000000</v>
          </cell>
        </row>
        <row r="230">
          <cell r="G230">
            <v>60201</v>
          </cell>
          <cell r="L230">
            <v>9000000</v>
          </cell>
        </row>
        <row r="231">
          <cell r="G231">
            <v>60201</v>
          </cell>
          <cell r="L231">
            <v>7170000</v>
          </cell>
        </row>
        <row r="232">
          <cell r="G232">
            <v>60201</v>
          </cell>
          <cell r="L232">
            <v>7170000</v>
          </cell>
        </row>
        <row r="233">
          <cell r="G233">
            <v>60201</v>
          </cell>
          <cell r="L233">
            <v>7170000</v>
          </cell>
        </row>
        <row r="234">
          <cell r="G234">
            <v>60201</v>
          </cell>
          <cell r="L234">
            <v>7170000</v>
          </cell>
        </row>
        <row r="235">
          <cell r="G235">
            <v>60201</v>
          </cell>
          <cell r="L235">
            <v>7170000</v>
          </cell>
        </row>
        <row r="236">
          <cell r="G236">
            <v>60201</v>
          </cell>
          <cell r="L236">
            <v>15870000</v>
          </cell>
        </row>
        <row r="237">
          <cell r="G237">
            <v>60201</v>
          </cell>
          <cell r="L237">
            <v>18000000</v>
          </cell>
        </row>
        <row r="238">
          <cell r="G238">
            <v>60201</v>
          </cell>
          <cell r="L238">
            <v>6239780</v>
          </cell>
        </row>
        <row r="239">
          <cell r="G239">
            <v>60201</v>
          </cell>
          <cell r="L239">
            <v>29189189</v>
          </cell>
        </row>
        <row r="240">
          <cell r="G240">
            <v>60201</v>
          </cell>
          <cell r="L240">
            <v>6200000</v>
          </cell>
        </row>
        <row r="241">
          <cell r="G241">
            <v>60201</v>
          </cell>
          <cell r="L241">
            <v>6200000</v>
          </cell>
        </row>
        <row r="242">
          <cell r="G242">
            <v>60201</v>
          </cell>
          <cell r="L242">
            <v>8696016</v>
          </cell>
        </row>
        <row r="243">
          <cell r="G243">
            <v>60203</v>
          </cell>
          <cell r="L243">
            <v>473031</v>
          </cell>
        </row>
        <row r="244">
          <cell r="G244">
            <v>60203</v>
          </cell>
          <cell r="L244">
            <v>18000000</v>
          </cell>
        </row>
        <row r="245">
          <cell r="G245">
            <v>60203</v>
          </cell>
          <cell r="L245">
            <v>6374424</v>
          </cell>
        </row>
        <row r="246">
          <cell r="G246">
            <v>60203</v>
          </cell>
          <cell r="L246">
            <v>3724700</v>
          </cell>
        </row>
        <row r="247">
          <cell r="G247">
            <v>60203</v>
          </cell>
          <cell r="L247">
            <v>864687</v>
          </cell>
        </row>
        <row r="248">
          <cell r="G248">
            <v>60203</v>
          </cell>
          <cell r="L248">
            <v>119512</v>
          </cell>
        </row>
        <row r="249">
          <cell r="G249">
            <v>60203</v>
          </cell>
          <cell r="L249">
            <v>700000</v>
          </cell>
        </row>
        <row r="250">
          <cell r="G250">
            <v>60203</v>
          </cell>
          <cell r="L250">
            <v>222253</v>
          </cell>
        </row>
        <row r="251">
          <cell r="G251">
            <v>60203</v>
          </cell>
          <cell r="L251">
            <v>687344</v>
          </cell>
        </row>
        <row r="252">
          <cell r="G252">
            <v>60203</v>
          </cell>
          <cell r="L252">
            <v>208393</v>
          </cell>
        </row>
        <row r="253">
          <cell r="G253">
            <v>60203</v>
          </cell>
          <cell r="L253">
            <v>1392657</v>
          </cell>
        </row>
        <row r="254">
          <cell r="G254">
            <v>60203</v>
          </cell>
          <cell r="L254">
            <v>15122520</v>
          </cell>
        </row>
        <row r="255">
          <cell r="G255">
            <v>60203</v>
          </cell>
          <cell r="L255">
            <v>1650000</v>
          </cell>
        </row>
        <row r="256">
          <cell r="G256">
            <v>60203</v>
          </cell>
          <cell r="L256">
            <v>1024000</v>
          </cell>
        </row>
        <row r="257">
          <cell r="G257">
            <v>60203</v>
          </cell>
          <cell r="L257">
            <v>471240</v>
          </cell>
        </row>
        <row r="258">
          <cell r="G258">
            <v>60203</v>
          </cell>
          <cell r="L258">
            <v>1450000</v>
          </cell>
        </row>
        <row r="259">
          <cell r="G259">
            <v>60203</v>
          </cell>
          <cell r="L259">
            <v>711394</v>
          </cell>
        </row>
        <row r="260">
          <cell r="G260">
            <v>60203</v>
          </cell>
          <cell r="L260">
            <v>6392516</v>
          </cell>
        </row>
        <row r="261">
          <cell r="G261">
            <v>60203</v>
          </cell>
          <cell r="L261">
            <v>4228070</v>
          </cell>
        </row>
        <row r="262">
          <cell r="G262">
            <v>60203</v>
          </cell>
          <cell r="L262">
            <v>3319722</v>
          </cell>
        </row>
        <row r="263">
          <cell r="G263">
            <v>60203</v>
          </cell>
          <cell r="L263">
            <v>4200000</v>
          </cell>
        </row>
        <row r="264">
          <cell r="G264">
            <v>60203</v>
          </cell>
          <cell r="L264">
            <v>251500</v>
          </cell>
        </row>
        <row r="265">
          <cell r="G265">
            <v>60203</v>
          </cell>
          <cell r="L265">
            <v>326063</v>
          </cell>
        </row>
        <row r="266">
          <cell r="G266">
            <v>60203</v>
          </cell>
          <cell r="L266">
            <v>1320000</v>
          </cell>
        </row>
        <row r="267">
          <cell r="G267">
            <v>60203</v>
          </cell>
          <cell r="L267">
            <v>495000</v>
          </cell>
        </row>
        <row r="268">
          <cell r="G268">
            <v>60203</v>
          </cell>
          <cell r="L268">
            <v>1195950</v>
          </cell>
        </row>
        <row r="269">
          <cell r="G269">
            <v>60203</v>
          </cell>
          <cell r="L269">
            <v>4232830</v>
          </cell>
        </row>
        <row r="270">
          <cell r="G270">
            <v>60203</v>
          </cell>
          <cell r="L270">
            <v>2779999</v>
          </cell>
        </row>
        <row r="271">
          <cell r="G271">
            <v>60203</v>
          </cell>
          <cell r="L271">
            <v>169999</v>
          </cell>
        </row>
        <row r="272">
          <cell r="G272">
            <v>60203</v>
          </cell>
          <cell r="L272">
            <v>1033753</v>
          </cell>
        </row>
        <row r="273">
          <cell r="G273">
            <v>60203</v>
          </cell>
          <cell r="L273">
            <v>598000</v>
          </cell>
        </row>
        <row r="274">
          <cell r="G274">
            <v>60204</v>
          </cell>
          <cell r="L274">
            <v>3050667</v>
          </cell>
        </row>
        <row r="275">
          <cell r="G275">
            <v>60204</v>
          </cell>
          <cell r="L275">
            <v>7280000</v>
          </cell>
        </row>
        <row r="276">
          <cell r="G276">
            <v>60204</v>
          </cell>
          <cell r="L276">
            <v>2912000</v>
          </cell>
        </row>
        <row r="277">
          <cell r="G277">
            <v>60204</v>
          </cell>
          <cell r="L277">
            <v>2912000</v>
          </cell>
        </row>
        <row r="278">
          <cell r="G278">
            <v>60204</v>
          </cell>
          <cell r="L278">
            <v>3189333</v>
          </cell>
        </row>
        <row r="279">
          <cell r="G279">
            <v>60204</v>
          </cell>
          <cell r="L279">
            <v>1799850</v>
          </cell>
        </row>
        <row r="280">
          <cell r="G280">
            <v>60204</v>
          </cell>
          <cell r="L280">
            <v>2303496</v>
          </cell>
        </row>
        <row r="281">
          <cell r="G281">
            <v>60204</v>
          </cell>
          <cell r="L281">
            <v>6666112</v>
          </cell>
        </row>
        <row r="282">
          <cell r="G282">
            <v>60204</v>
          </cell>
          <cell r="L282">
            <v>3833333</v>
          </cell>
        </row>
        <row r="283">
          <cell r="G283">
            <v>60204</v>
          </cell>
          <cell r="L283">
            <v>959920</v>
          </cell>
        </row>
        <row r="284">
          <cell r="G284">
            <v>60204</v>
          </cell>
          <cell r="L284">
            <v>1113316</v>
          </cell>
        </row>
        <row r="285">
          <cell r="G285">
            <v>60204</v>
          </cell>
          <cell r="L285">
            <v>5107557</v>
          </cell>
        </row>
        <row r="286">
          <cell r="G286">
            <v>60204</v>
          </cell>
          <cell r="L286">
            <v>5107557</v>
          </cell>
        </row>
        <row r="287">
          <cell r="G287">
            <v>60204</v>
          </cell>
          <cell r="L287">
            <v>4629064</v>
          </cell>
        </row>
        <row r="288">
          <cell r="G288">
            <v>60204</v>
          </cell>
          <cell r="L288">
            <v>346528</v>
          </cell>
        </row>
        <row r="289">
          <cell r="G289">
            <v>60204</v>
          </cell>
          <cell r="L289">
            <v>1197648</v>
          </cell>
        </row>
        <row r="290">
          <cell r="G290">
            <v>60204</v>
          </cell>
          <cell r="L290">
            <v>1226906</v>
          </cell>
        </row>
        <row r="291">
          <cell r="G291">
            <v>60204</v>
          </cell>
          <cell r="L291">
            <v>4061196</v>
          </cell>
        </row>
        <row r="292">
          <cell r="G292">
            <v>60204</v>
          </cell>
          <cell r="L292">
            <v>12500000</v>
          </cell>
        </row>
        <row r="293">
          <cell r="G293">
            <v>60204</v>
          </cell>
          <cell r="L293">
            <v>10400000</v>
          </cell>
        </row>
        <row r="294">
          <cell r="G294">
            <v>60204</v>
          </cell>
          <cell r="L294">
            <v>10400000</v>
          </cell>
        </row>
        <row r="295">
          <cell r="G295">
            <v>60204</v>
          </cell>
          <cell r="L295">
            <v>10400000</v>
          </cell>
        </row>
        <row r="296">
          <cell r="G296">
            <v>60204</v>
          </cell>
          <cell r="L296">
            <v>15383335</v>
          </cell>
        </row>
        <row r="297">
          <cell r="G297">
            <v>60204</v>
          </cell>
          <cell r="L297">
            <v>5999500</v>
          </cell>
        </row>
        <row r="298">
          <cell r="G298">
            <v>60204</v>
          </cell>
          <cell r="L298">
            <v>17350667</v>
          </cell>
        </row>
        <row r="299">
          <cell r="G299">
            <v>60204</v>
          </cell>
          <cell r="L299">
            <v>10400000</v>
          </cell>
        </row>
        <row r="300">
          <cell r="G300">
            <v>60204</v>
          </cell>
          <cell r="L300">
            <v>5999500</v>
          </cell>
        </row>
        <row r="301">
          <cell r="G301">
            <v>60204</v>
          </cell>
          <cell r="L301">
            <v>2003040</v>
          </cell>
        </row>
      </sheetData>
      <sheetData sheetId="6">
        <row r="2">
          <cell r="G2">
            <v>5360810</v>
          </cell>
          <cell r="L2">
            <v>18400000</v>
          </cell>
        </row>
        <row r="3">
          <cell r="G3">
            <v>5369016</v>
          </cell>
          <cell r="L3">
            <v>17600000</v>
          </cell>
        </row>
        <row r="4">
          <cell r="G4">
            <v>8301580</v>
          </cell>
          <cell r="L4">
            <v>2850000</v>
          </cell>
        </row>
        <row r="5">
          <cell r="G5">
            <v>8301588</v>
          </cell>
          <cell r="L5">
            <v>79999940</v>
          </cell>
        </row>
        <row r="6">
          <cell r="G6">
            <v>8301588</v>
          </cell>
          <cell r="L6">
            <v>15000000</v>
          </cell>
        </row>
        <row r="7">
          <cell r="G7">
            <v>8301588</v>
          </cell>
          <cell r="L7">
            <v>21000000</v>
          </cell>
        </row>
        <row r="8">
          <cell r="G8">
            <v>8301588</v>
          </cell>
          <cell r="L8">
            <v>18000000</v>
          </cell>
        </row>
        <row r="9">
          <cell r="G9">
            <v>8301588</v>
          </cell>
          <cell r="L9">
            <v>18000000</v>
          </cell>
        </row>
        <row r="10">
          <cell r="G10">
            <v>8301589</v>
          </cell>
          <cell r="L10">
            <v>2842000</v>
          </cell>
        </row>
        <row r="11">
          <cell r="G11">
            <v>8320314</v>
          </cell>
          <cell r="L11">
            <v>14594600</v>
          </cell>
        </row>
        <row r="12">
          <cell r="G12">
            <v>8320314</v>
          </cell>
          <cell r="L12">
            <v>22900000</v>
          </cell>
        </row>
        <row r="13">
          <cell r="G13">
            <v>8320314</v>
          </cell>
          <cell r="L13">
            <v>6674460</v>
          </cell>
        </row>
        <row r="14">
          <cell r="G14">
            <v>8320314</v>
          </cell>
          <cell r="L14">
            <v>28667000</v>
          </cell>
        </row>
        <row r="15">
          <cell r="G15">
            <v>8320314</v>
          </cell>
          <cell r="L15">
            <v>597734</v>
          </cell>
        </row>
        <row r="16">
          <cell r="G16">
            <v>8320314</v>
          </cell>
          <cell r="L16">
            <v>76000000</v>
          </cell>
        </row>
        <row r="17">
          <cell r="G17">
            <v>8320314</v>
          </cell>
          <cell r="L17">
            <v>25178000</v>
          </cell>
        </row>
        <row r="18">
          <cell r="G18">
            <v>8320314</v>
          </cell>
          <cell r="L18">
            <v>39000000</v>
          </cell>
        </row>
        <row r="19">
          <cell r="G19">
            <v>8320314</v>
          </cell>
          <cell r="L19">
            <v>17733272</v>
          </cell>
        </row>
        <row r="20">
          <cell r="G20">
            <v>8320314</v>
          </cell>
          <cell r="L20">
            <v>41100000</v>
          </cell>
        </row>
        <row r="21">
          <cell r="G21">
            <v>8320314</v>
          </cell>
          <cell r="L21">
            <v>953529</v>
          </cell>
        </row>
        <row r="22">
          <cell r="G22">
            <v>8320314</v>
          </cell>
          <cell r="L22">
            <v>84000000</v>
          </cell>
        </row>
        <row r="23">
          <cell r="G23">
            <v>8320314</v>
          </cell>
          <cell r="L23">
            <v>1245940</v>
          </cell>
        </row>
        <row r="24">
          <cell r="G24">
            <v>8320314</v>
          </cell>
          <cell r="L24">
            <v>75600000</v>
          </cell>
        </row>
        <row r="25">
          <cell r="G25">
            <v>8320314</v>
          </cell>
          <cell r="L25">
            <v>1098332</v>
          </cell>
        </row>
        <row r="26">
          <cell r="G26">
            <v>8320314</v>
          </cell>
          <cell r="L26">
            <v>98400000</v>
          </cell>
        </row>
        <row r="27">
          <cell r="G27">
            <v>8320314</v>
          </cell>
          <cell r="L27">
            <v>2714880</v>
          </cell>
        </row>
      </sheetData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2.emf"/><Relationship Id="rId4" Type="http://schemas.openxmlformats.org/officeDocument/2006/relationships/package" Target="../embeddings/Hoja_de_c_lculo_de_Microsoft_Excel.xlsx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91"/>
  <sheetViews>
    <sheetView showGridLines="0" tabSelected="1" workbookViewId="0">
      <pane xSplit="2" ySplit="4" topLeftCell="C5" activePane="bottomRight" state="frozen"/>
      <selection pane="topRight" activeCell="C1" sqref="C1"/>
      <selection pane="bottomLeft" activeCell="A2" sqref="A2"/>
      <selection pane="bottomRight" activeCell="F20" sqref="F20"/>
    </sheetView>
  </sheetViews>
  <sheetFormatPr baseColWidth="10" defaultRowHeight="15" x14ac:dyDescent="0.25"/>
  <cols>
    <col min="1" max="1" width="15" customWidth="1"/>
    <col min="2" max="2" width="44.42578125" customWidth="1"/>
    <col min="3" max="3" width="16.28515625" style="3" bestFit="1" customWidth="1"/>
    <col min="4" max="4" width="14.140625" style="3" bestFit="1" customWidth="1"/>
    <col min="5" max="5" width="19.140625" style="3" bestFit="1" customWidth="1"/>
    <col min="6" max="6" width="18.140625" style="3" bestFit="1" customWidth="1"/>
    <col min="7" max="7" width="16.5703125" style="3" customWidth="1"/>
    <col min="8" max="8" width="15.140625" style="3" customWidth="1"/>
    <col min="9" max="9" width="14.140625" style="3" bestFit="1" customWidth="1"/>
    <col min="10" max="10" width="18.42578125" style="3" bestFit="1" customWidth="1"/>
    <col min="11" max="11" width="15.85546875" style="3" bestFit="1" customWidth="1"/>
    <col min="12" max="12" width="15" style="3" customWidth="1"/>
    <col min="13" max="13" width="15.5703125" style="3" bestFit="1" customWidth="1"/>
    <col min="14" max="14" width="16.140625" style="3" hidden="1" customWidth="1"/>
    <col min="15" max="15" width="15.28515625" style="3" bestFit="1" customWidth="1"/>
    <col min="16" max="16" width="14.140625" style="3" customWidth="1"/>
    <col min="17" max="17" width="16.140625" style="3" customWidth="1"/>
    <col min="18" max="18" width="17.28515625" style="3" bestFit="1" customWidth="1"/>
    <col min="19" max="20" width="14.7109375" style="108" bestFit="1" customWidth="1"/>
    <col min="21" max="21" width="11.42578125" style="108"/>
    <col min="22" max="23" width="13.7109375" style="108" bestFit="1" customWidth="1"/>
    <col min="24" max="24" width="11.42578125" style="108"/>
    <col min="25" max="25" width="13.7109375" style="108" bestFit="1" customWidth="1"/>
    <col min="26" max="26" width="12.7109375" style="108" bestFit="1" customWidth="1"/>
    <col min="27" max="27" width="11.42578125" style="108"/>
    <col min="28" max="28" width="15.140625" hidden="1" customWidth="1"/>
  </cols>
  <sheetData>
    <row r="1" spans="1:27" ht="20.25" x14ac:dyDescent="0.3">
      <c r="A1" s="108"/>
      <c r="B1" s="180" t="s">
        <v>714</v>
      </c>
    </row>
    <row r="2" spans="1:27" ht="18.75" x14ac:dyDescent="0.3">
      <c r="A2" s="108"/>
      <c r="B2" s="181" t="s">
        <v>715</v>
      </c>
    </row>
    <row r="3" spans="1:27" ht="18.75" x14ac:dyDescent="0.3">
      <c r="A3" s="108"/>
      <c r="B3" s="181" t="s">
        <v>716</v>
      </c>
    </row>
    <row r="4" spans="1:27" s="9" customFormat="1" ht="24" x14ac:dyDescent="0.2">
      <c r="A4" s="7" t="s">
        <v>0</v>
      </c>
      <c r="B4" s="7" t="s">
        <v>1</v>
      </c>
      <c r="C4" s="8" t="s">
        <v>2</v>
      </c>
      <c r="D4" s="8" t="s">
        <v>3</v>
      </c>
      <c r="E4" s="8" t="s">
        <v>4</v>
      </c>
      <c r="F4" s="8" t="s">
        <v>5</v>
      </c>
      <c r="G4" s="8" t="s">
        <v>705</v>
      </c>
      <c r="H4" s="8" t="s">
        <v>6</v>
      </c>
      <c r="I4" s="8" t="s">
        <v>7</v>
      </c>
      <c r="J4" s="8" t="s">
        <v>707</v>
      </c>
      <c r="K4" s="8" t="s">
        <v>708</v>
      </c>
      <c r="L4" s="8" t="s">
        <v>709</v>
      </c>
      <c r="M4" s="8" t="s">
        <v>710</v>
      </c>
      <c r="N4" s="8" t="s">
        <v>711</v>
      </c>
      <c r="O4" s="8" t="s">
        <v>712</v>
      </c>
      <c r="P4" s="8" t="s">
        <v>713</v>
      </c>
      <c r="Q4" s="8" t="s">
        <v>706</v>
      </c>
      <c r="R4" s="8" t="s">
        <v>717</v>
      </c>
    </row>
    <row r="5" spans="1:27" s="183" customFormat="1" x14ac:dyDescent="0.25">
      <c r="A5" s="4" t="s">
        <v>8</v>
      </c>
      <c r="B5" s="5" t="s">
        <v>9</v>
      </c>
      <c r="C5" s="10">
        <f t="shared" ref="C5:R5" si="0">+C6+C99+C103+C292+C317+C318</f>
        <v>137286811235</v>
      </c>
      <c r="D5" s="10">
        <f t="shared" si="0"/>
        <v>10402128494.549999</v>
      </c>
      <c r="E5" s="10">
        <f t="shared" si="0"/>
        <v>10402128494.549999</v>
      </c>
      <c r="F5" s="10">
        <f t="shared" si="0"/>
        <v>31962284310.130001</v>
      </c>
      <c r="G5" s="10">
        <f t="shared" si="0"/>
        <v>2614543679.1300001</v>
      </c>
      <c r="H5" s="10">
        <f t="shared" si="0"/>
        <v>1250570468</v>
      </c>
      <c r="I5" s="10">
        <f t="shared" si="0"/>
        <v>63021007750.110001</v>
      </c>
      <c r="J5" s="10">
        <f t="shared" si="0"/>
        <v>169709507886.11002</v>
      </c>
      <c r="K5" s="10">
        <f>+K6+K99+K103+K292+K317+K318</f>
        <v>128445589636.25002</v>
      </c>
      <c r="L5" s="10">
        <f>+L6+L99+L103+L292+L317+L318</f>
        <v>41263918249.860001</v>
      </c>
      <c r="M5" s="10">
        <f t="shared" si="0"/>
        <v>121162421325.56</v>
      </c>
      <c r="N5" s="10">
        <f t="shared" si="0"/>
        <v>8985563094.0799999</v>
      </c>
      <c r="O5" s="10">
        <f t="shared" si="0"/>
        <v>132773908646.18001</v>
      </c>
      <c r="P5" s="10">
        <f t="shared" si="0"/>
        <v>36935599239.930008</v>
      </c>
      <c r="Q5" s="10">
        <f t="shared" si="0"/>
        <v>121162421325.56</v>
      </c>
      <c r="R5" s="66">
        <f t="shared" si="0"/>
        <v>7285192852.6900005</v>
      </c>
      <c r="S5" s="182">
        <f>+K5/O5</f>
        <v>0.96740083157855783</v>
      </c>
    </row>
    <row r="6" spans="1:27" s="183" customFormat="1" x14ac:dyDescent="0.25">
      <c r="A6" s="4" t="s">
        <v>10</v>
      </c>
      <c r="B6" s="5" t="s">
        <v>11</v>
      </c>
      <c r="C6" s="10">
        <f>+C7+C74+C97</f>
        <v>96526538401</v>
      </c>
      <c r="D6" s="10">
        <f>+D7+D74+D97</f>
        <v>8329783908.5500002</v>
      </c>
      <c r="E6" s="10">
        <f t="shared" ref="E6:R6" si="1">+E7+E74+E97</f>
        <v>9089296617.5499992</v>
      </c>
      <c r="F6" s="10">
        <f t="shared" si="1"/>
        <v>17406864865.130001</v>
      </c>
      <c r="G6" s="10">
        <f t="shared" si="1"/>
        <v>2614543679.1300001</v>
      </c>
      <c r="H6" s="10">
        <f t="shared" si="1"/>
        <v>0</v>
      </c>
      <c r="I6" s="10">
        <f t="shared" si="1"/>
        <v>7264899189.1300001</v>
      </c>
      <c r="J6" s="10">
        <f t="shared" si="1"/>
        <v>88239603695.130005</v>
      </c>
      <c r="K6" s="10">
        <f>+K7+K74+K97</f>
        <v>87770219832.720001</v>
      </c>
      <c r="L6" s="10">
        <f>+L7+L74+L97</f>
        <v>469383862.4100008</v>
      </c>
      <c r="M6" s="10">
        <f t="shared" si="1"/>
        <v>87329296252.240005</v>
      </c>
      <c r="N6" s="10">
        <f t="shared" si="1"/>
        <v>1203317974.6099999</v>
      </c>
      <c r="O6" s="10">
        <f t="shared" si="1"/>
        <v>87949087215.889999</v>
      </c>
      <c r="P6" s="10">
        <f t="shared" si="1"/>
        <v>290516479.23999983</v>
      </c>
      <c r="Q6" s="10">
        <f t="shared" si="1"/>
        <v>87329296252.240005</v>
      </c>
      <c r="R6" s="10">
        <f t="shared" si="1"/>
        <v>440923580.47999996</v>
      </c>
    </row>
    <row r="7" spans="1:27" s="183" customFormat="1" x14ac:dyDescent="0.25">
      <c r="A7" s="4" t="s">
        <v>12</v>
      </c>
      <c r="B7" s="5" t="s">
        <v>13</v>
      </c>
      <c r="C7" s="10">
        <f>+C8+C9+C10+C21+C23+C26+C28+C31+C32+C35</f>
        <v>89801136107</v>
      </c>
      <c r="D7" s="10">
        <f>+D8+D9+D10+D21+D23+D26+D28+D31+D32+D35</f>
        <v>7447771732</v>
      </c>
      <c r="E7" s="10">
        <f t="shared" ref="E7:R7" si="2">+E8+E9+E10+E21+E23+E26+E28+E31+E32+E35</f>
        <v>8359977473.5500002</v>
      </c>
      <c r="F7" s="10">
        <f t="shared" si="2"/>
        <v>14947065907.130001</v>
      </c>
      <c r="G7" s="10">
        <f t="shared" si="2"/>
        <v>2614543679.1300001</v>
      </c>
      <c r="H7" s="10">
        <f t="shared" si="2"/>
        <v>0</v>
      </c>
      <c r="I7" s="10">
        <f t="shared" si="2"/>
        <v>6260052830.1300001</v>
      </c>
      <c r="J7" s="10">
        <f t="shared" si="2"/>
        <v>82816460967.580002</v>
      </c>
      <c r="K7" s="10">
        <f>+K8+K9+K10+K21+K23+K26+K28+K31+K32+K35</f>
        <v>82772493740.130005</v>
      </c>
      <c r="L7" s="10">
        <f>+L8+L9+L10+L21+L23+L26+L28+L31+L32+L35</f>
        <v>43967227.450000763</v>
      </c>
      <c r="M7" s="10">
        <f t="shared" si="2"/>
        <v>82498905171.970001</v>
      </c>
      <c r="N7" s="10">
        <f t="shared" si="2"/>
        <v>693231660.15999997</v>
      </c>
      <c r="O7" s="10">
        <f t="shared" si="2"/>
        <v>82805535962.130005</v>
      </c>
      <c r="P7" s="10">
        <f t="shared" si="2"/>
        <v>10925005.449999809</v>
      </c>
      <c r="Q7" s="10">
        <f t="shared" si="2"/>
        <v>82498905171.970001</v>
      </c>
      <c r="R7" s="10">
        <f t="shared" si="2"/>
        <v>273588568.15999997</v>
      </c>
    </row>
    <row r="8" spans="1:27" s="70" customFormat="1" x14ac:dyDescent="0.25">
      <c r="A8" s="99" t="s">
        <v>14</v>
      </c>
      <c r="B8" s="1" t="s">
        <v>15</v>
      </c>
      <c r="C8" s="11">
        <v>27654651244</v>
      </c>
      <c r="D8" s="11">
        <v>0</v>
      </c>
      <c r="E8" s="11">
        <v>4448942908</v>
      </c>
      <c r="F8" s="11">
        <v>2614543679.1300001</v>
      </c>
      <c r="G8" s="11">
        <v>2614543679.1300001</v>
      </c>
      <c r="H8" s="11">
        <v>0</v>
      </c>
      <c r="I8" s="11">
        <v>2614543679.1300001</v>
      </c>
      <c r="J8" s="11">
        <f t="shared" ref="J8:J68" si="3">+C8+D8-E8-F8+G8-H8+I8</f>
        <v>25820252015.130001</v>
      </c>
      <c r="K8" s="11">
        <v>25820252015.130001</v>
      </c>
      <c r="L8" s="10">
        <f t="shared" ref="L8:L69" si="4">+J8-K8</f>
        <v>0</v>
      </c>
      <c r="M8" s="11">
        <v>25820252015.130001</v>
      </c>
      <c r="N8" s="11">
        <v>0</v>
      </c>
      <c r="O8" s="11">
        <v>25820252015.130001</v>
      </c>
      <c r="P8" s="11">
        <f>+J8-O8</f>
        <v>0</v>
      </c>
      <c r="Q8" s="11">
        <f t="shared" ref="Q8:Q68" si="5">+M8</f>
        <v>25820252015.130001</v>
      </c>
      <c r="R8" s="11">
        <f>+K8-M8</f>
        <v>0</v>
      </c>
      <c r="S8" s="184"/>
      <c r="T8" s="184"/>
      <c r="U8" s="184"/>
      <c r="V8" s="184"/>
      <c r="W8" s="184"/>
      <c r="X8" s="184"/>
      <c r="Y8" s="184"/>
      <c r="Z8" s="184"/>
      <c r="AA8" s="184"/>
    </row>
    <row r="9" spans="1:27" s="70" customFormat="1" x14ac:dyDescent="0.25">
      <c r="A9" s="99" t="s">
        <v>16</v>
      </c>
      <c r="B9" s="1" t="s">
        <v>17</v>
      </c>
      <c r="C9" s="11">
        <v>938175356</v>
      </c>
      <c r="D9" s="11">
        <v>0</v>
      </c>
      <c r="E9" s="11">
        <v>295397430</v>
      </c>
      <c r="F9" s="11">
        <v>0</v>
      </c>
      <c r="G9" s="11"/>
      <c r="H9" s="11">
        <v>0</v>
      </c>
      <c r="I9" s="11">
        <v>0</v>
      </c>
      <c r="J9" s="11">
        <f t="shared" si="3"/>
        <v>642777926</v>
      </c>
      <c r="K9" s="11">
        <v>642777926</v>
      </c>
      <c r="L9" s="10">
        <f t="shared" si="4"/>
        <v>0</v>
      </c>
      <c r="M9" s="11">
        <v>642777926</v>
      </c>
      <c r="N9" s="11">
        <v>0</v>
      </c>
      <c r="O9" s="11">
        <v>642777926</v>
      </c>
      <c r="P9" s="11">
        <f>+J9-O9</f>
        <v>0</v>
      </c>
      <c r="Q9" s="11">
        <f t="shared" si="5"/>
        <v>642777926</v>
      </c>
      <c r="R9" s="11">
        <f t="shared" ref="R9:R34" si="6">+K9-M9</f>
        <v>0</v>
      </c>
      <c r="S9" s="184"/>
      <c r="T9" s="184"/>
      <c r="U9" s="184"/>
      <c r="V9" s="184"/>
      <c r="W9" s="184"/>
      <c r="X9" s="184"/>
      <c r="Y9" s="184"/>
      <c r="Z9" s="184"/>
      <c r="AA9" s="184"/>
    </row>
    <row r="10" spans="1:27" s="183" customFormat="1" x14ac:dyDescent="0.25">
      <c r="A10" s="4" t="s">
        <v>18</v>
      </c>
      <c r="B10" s="5" t="s">
        <v>19</v>
      </c>
      <c r="C10" s="10">
        <f>SUM(C11:C20)</f>
        <v>26976223392</v>
      </c>
      <c r="D10" s="10">
        <f t="shared" ref="D10:Q10" si="7">SUM(D11:D20)</f>
        <v>1862596567</v>
      </c>
      <c r="E10" s="10">
        <f t="shared" si="7"/>
        <v>2811347690.5500002</v>
      </c>
      <c r="F10" s="10">
        <f t="shared" si="7"/>
        <v>7000000000</v>
      </c>
      <c r="G10" s="10">
        <f t="shared" si="7"/>
        <v>0</v>
      </c>
      <c r="H10" s="10">
        <f t="shared" si="7"/>
        <v>0</v>
      </c>
      <c r="I10" s="10">
        <f t="shared" si="7"/>
        <v>3511461268</v>
      </c>
      <c r="J10" s="10">
        <f t="shared" si="7"/>
        <v>22538933536.450001</v>
      </c>
      <c r="K10" s="10">
        <f t="shared" si="7"/>
        <v>22536664944</v>
      </c>
      <c r="L10" s="10">
        <f t="shared" si="4"/>
        <v>2268592.4500007629</v>
      </c>
      <c r="M10" s="10">
        <f t="shared" si="7"/>
        <v>22536664944</v>
      </c>
      <c r="N10" s="10">
        <f t="shared" si="7"/>
        <v>0</v>
      </c>
      <c r="O10" s="10">
        <f t="shared" si="7"/>
        <v>22536664944</v>
      </c>
      <c r="P10" s="10">
        <f t="shared" si="7"/>
        <v>2268592.4499998093</v>
      </c>
      <c r="Q10" s="10">
        <f t="shared" si="7"/>
        <v>22536664944</v>
      </c>
      <c r="R10" s="11">
        <f t="shared" si="6"/>
        <v>0</v>
      </c>
    </row>
    <row r="11" spans="1:27" s="70" customFormat="1" x14ac:dyDescent="0.25">
      <c r="A11" s="99" t="s">
        <v>20</v>
      </c>
      <c r="B11" s="1" t="s">
        <v>21</v>
      </c>
      <c r="C11" s="11">
        <v>10510118483</v>
      </c>
      <c r="D11" s="11">
        <v>0</v>
      </c>
      <c r="E11" s="11">
        <v>196038422</v>
      </c>
      <c r="F11" s="11">
        <v>0</v>
      </c>
      <c r="G11" s="11"/>
      <c r="H11" s="11">
        <v>0</v>
      </c>
      <c r="I11" s="11">
        <v>0</v>
      </c>
      <c r="J11" s="11">
        <f t="shared" si="3"/>
        <v>10314080061</v>
      </c>
      <c r="K11" s="11">
        <v>10314080061</v>
      </c>
      <c r="L11" s="10">
        <f t="shared" si="4"/>
        <v>0</v>
      </c>
      <c r="M11" s="11">
        <v>10314080061</v>
      </c>
      <c r="N11" s="11">
        <v>0</v>
      </c>
      <c r="O11" s="11">
        <v>10314080061</v>
      </c>
      <c r="P11" s="11">
        <f t="shared" ref="P11:P20" si="8">+J11-O11</f>
        <v>0</v>
      </c>
      <c r="Q11" s="11">
        <f t="shared" si="5"/>
        <v>10314080061</v>
      </c>
      <c r="R11" s="11">
        <f t="shared" si="6"/>
        <v>0</v>
      </c>
      <c r="S11" s="184"/>
      <c r="T11" s="184"/>
      <c r="U11" s="184"/>
      <c r="V11" s="184"/>
      <c r="W11" s="184"/>
      <c r="X11" s="184"/>
      <c r="Y11" s="184"/>
      <c r="Z11" s="184"/>
      <c r="AA11" s="184"/>
    </row>
    <row r="12" spans="1:27" s="70" customFormat="1" x14ac:dyDescent="0.25">
      <c r="A12" s="99" t="s">
        <v>22</v>
      </c>
      <c r="B12" s="1" t="s">
        <v>23</v>
      </c>
      <c r="C12" s="11">
        <v>4021563010</v>
      </c>
      <c r="D12" s="11">
        <v>451704739</v>
      </c>
      <c r="E12" s="11">
        <v>679649751</v>
      </c>
      <c r="F12" s="11">
        <v>0</v>
      </c>
      <c r="G12" s="11"/>
      <c r="H12" s="11">
        <v>0</v>
      </c>
      <c r="I12" s="11">
        <v>0</v>
      </c>
      <c r="J12" s="11">
        <f t="shared" si="3"/>
        <v>3793617998</v>
      </c>
      <c r="K12" s="11">
        <v>3793617998</v>
      </c>
      <c r="L12" s="10">
        <f t="shared" si="4"/>
        <v>0</v>
      </c>
      <c r="M12" s="11">
        <v>3793617998</v>
      </c>
      <c r="N12" s="11">
        <v>0</v>
      </c>
      <c r="O12" s="11">
        <v>3793617998</v>
      </c>
      <c r="P12" s="11">
        <f t="shared" si="8"/>
        <v>0</v>
      </c>
      <c r="Q12" s="11">
        <f t="shared" si="5"/>
        <v>3793617998</v>
      </c>
      <c r="R12" s="11">
        <f t="shared" si="6"/>
        <v>0</v>
      </c>
      <c r="S12" s="184"/>
      <c r="T12" s="184"/>
      <c r="U12" s="184"/>
      <c r="V12" s="184"/>
      <c r="W12" s="184"/>
      <c r="X12" s="184"/>
      <c r="Y12" s="184"/>
      <c r="Z12" s="184"/>
      <c r="AA12" s="184"/>
    </row>
    <row r="13" spans="1:27" s="70" customFormat="1" x14ac:dyDescent="0.25">
      <c r="A13" s="99" t="s">
        <v>24</v>
      </c>
      <c r="B13" s="1" t="s">
        <v>25</v>
      </c>
      <c r="C13" s="11">
        <v>183377970</v>
      </c>
      <c r="D13" s="11">
        <v>0</v>
      </c>
      <c r="E13" s="11">
        <v>53732028</v>
      </c>
      <c r="F13" s="11">
        <v>0</v>
      </c>
      <c r="G13" s="11"/>
      <c r="H13" s="11">
        <v>0</v>
      </c>
      <c r="I13" s="11">
        <v>0</v>
      </c>
      <c r="J13" s="11">
        <f t="shared" si="3"/>
        <v>129645942</v>
      </c>
      <c r="K13" s="11">
        <v>129645942</v>
      </c>
      <c r="L13" s="10">
        <f t="shared" si="4"/>
        <v>0</v>
      </c>
      <c r="M13" s="11">
        <v>129645942</v>
      </c>
      <c r="N13" s="11">
        <v>0</v>
      </c>
      <c r="O13" s="11">
        <v>129645942</v>
      </c>
      <c r="P13" s="11">
        <f t="shared" si="8"/>
        <v>0</v>
      </c>
      <c r="Q13" s="11">
        <f t="shared" si="5"/>
        <v>129645942</v>
      </c>
      <c r="R13" s="11">
        <f t="shared" si="6"/>
        <v>0</v>
      </c>
      <c r="S13" s="184"/>
      <c r="T13" s="184"/>
      <c r="U13" s="184"/>
      <c r="V13" s="184"/>
      <c r="W13" s="184"/>
      <c r="X13" s="184"/>
      <c r="Y13" s="184"/>
      <c r="Z13" s="184"/>
      <c r="AA13" s="184"/>
    </row>
    <row r="14" spans="1:27" s="70" customFormat="1" x14ac:dyDescent="0.25">
      <c r="A14" s="99" t="s">
        <v>26</v>
      </c>
      <c r="B14" s="1" t="s">
        <v>27</v>
      </c>
      <c r="C14" s="11">
        <v>2099782214</v>
      </c>
      <c r="D14" s="11">
        <v>553979674</v>
      </c>
      <c r="E14" s="11">
        <v>0</v>
      </c>
      <c r="F14" s="11">
        <v>1938175356</v>
      </c>
      <c r="G14" s="11"/>
      <c r="H14" s="11">
        <v>0</v>
      </c>
      <c r="I14" s="11">
        <v>1390566354</v>
      </c>
      <c r="J14" s="11">
        <f t="shared" si="3"/>
        <v>2106152886</v>
      </c>
      <c r="K14" s="11">
        <v>2106152886</v>
      </c>
      <c r="L14" s="10">
        <f t="shared" si="4"/>
        <v>0</v>
      </c>
      <c r="M14" s="11">
        <v>2106152886</v>
      </c>
      <c r="N14" s="11">
        <v>0</v>
      </c>
      <c r="O14" s="11">
        <v>2106152886</v>
      </c>
      <c r="P14" s="11">
        <f t="shared" si="8"/>
        <v>0</v>
      </c>
      <c r="Q14" s="11">
        <f t="shared" si="5"/>
        <v>2106152886</v>
      </c>
      <c r="R14" s="11">
        <f t="shared" si="6"/>
        <v>0</v>
      </c>
      <c r="S14" s="184"/>
      <c r="T14" s="184"/>
      <c r="U14" s="184"/>
      <c r="V14" s="184"/>
      <c r="W14" s="184"/>
      <c r="X14" s="184"/>
      <c r="Y14" s="184"/>
      <c r="Z14" s="184"/>
      <c r="AA14" s="184"/>
    </row>
    <row r="15" spans="1:27" s="70" customFormat="1" x14ac:dyDescent="0.25">
      <c r="A15" s="99" t="s">
        <v>28</v>
      </c>
      <c r="B15" s="1" t="s">
        <v>29</v>
      </c>
      <c r="C15" s="11">
        <v>3095019724</v>
      </c>
      <c r="D15" s="11">
        <v>26066986</v>
      </c>
      <c r="E15" s="11">
        <v>20445799</v>
      </c>
      <c r="F15" s="11">
        <v>2061824644</v>
      </c>
      <c r="G15" s="11"/>
      <c r="H15" s="11">
        <v>0</v>
      </c>
      <c r="I15" s="11">
        <v>1993409912</v>
      </c>
      <c r="J15" s="11">
        <f t="shared" si="3"/>
        <v>3032226179</v>
      </c>
      <c r="K15" s="11">
        <v>3032226179</v>
      </c>
      <c r="L15" s="10">
        <f t="shared" si="4"/>
        <v>0</v>
      </c>
      <c r="M15" s="11">
        <v>3032226179</v>
      </c>
      <c r="N15" s="11">
        <v>0</v>
      </c>
      <c r="O15" s="11">
        <v>3032226179</v>
      </c>
      <c r="P15" s="11">
        <f t="shared" si="8"/>
        <v>0</v>
      </c>
      <c r="Q15" s="11">
        <f t="shared" si="5"/>
        <v>3032226179</v>
      </c>
      <c r="R15" s="11">
        <f t="shared" si="6"/>
        <v>0</v>
      </c>
      <c r="S15" s="184"/>
      <c r="T15" s="184"/>
      <c r="U15" s="184"/>
      <c r="V15" s="184"/>
      <c r="W15" s="184"/>
      <c r="X15" s="184"/>
      <c r="Y15" s="184"/>
      <c r="Z15" s="184"/>
      <c r="AA15" s="184"/>
    </row>
    <row r="16" spans="1:27" s="70" customFormat="1" x14ac:dyDescent="0.25">
      <c r="A16" s="99" t="s">
        <v>30</v>
      </c>
      <c r="B16" s="1" t="s">
        <v>31</v>
      </c>
      <c r="C16" s="11">
        <v>2083825</v>
      </c>
      <c r="D16" s="11">
        <v>0</v>
      </c>
      <c r="E16" s="11">
        <v>591325</v>
      </c>
      <c r="F16" s="11">
        <v>0</v>
      </c>
      <c r="G16" s="11"/>
      <c r="H16" s="11">
        <v>0</v>
      </c>
      <c r="I16" s="11">
        <v>0</v>
      </c>
      <c r="J16" s="11">
        <f t="shared" si="3"/>
        <v>1492500</v>
      </c>
      <c r="K16" s="11">
        <v>1492500</v>
      </c>
      <c r="L16" s="10">
        <f t="shared" si="4"/>
        <v>0</v>
      </c>
      <c r="M16" s="11">
        <v>1492500</v>
      </c>
      <c r="N16" s="11">
        <v>0</v>
      </c>
      <c r="O16" s="11">
        <v>1492500</v>
      </c>
      <c r="P16" s="11">
        <f t="shared" si="8"/>
        <v>0</v>
      </c>
      <c r="Q16" s="11">
        <f t="shared" si="5"/>
        <v>1492500</v>
      </c>
      <c r="R16" s="11">
        <f t="shared" si="6"/>
        <v>0</v>
      </c>
      <c r="S16" s="184"/>
      <c r="T16" s="184"/>
      <c r="U16" s="184"/>
      <c r="V16" s="184"/>
      <c r="W16" s="184"/>
      <c r="X16" s="184"/>
      <c r="Y16" s="184"/>
      <c r="Z16" s="184"/>
      <c r="AA16" s="184"/>
    </row>
    <row r="17" spans="1:27" s="70" customFormat="1" x14ac:dyDescent="0.25">
      <c r="A17" s="99" t="s">
        <v>32</v>
      </c>
      <c r="B17" s="1" t="s">
        <v>33</v>
      </c>
      <c r="C17" s="11">
        <v>2000604390</v>
      </c>
      <c r="D17" s="11">
        <v>830289871</v>
      </c>
      <c r="E17" s="11">
        <v>724218296</v>
      </c>
      <c r="F17" s="11">
        <v>0</v>
      </c>
      <c r="G17" s="11"/>
      <c r="H17" s="11">
        <v>0</v>
      </c>
      <c r="I17" s="11">
        <v>127485002</v>
      </c>
      <c r="J17" s="11">
        <f t="shared" si="3"/>
        <v>2234160967</v>
      </c>
      <c r="K17" s="11">
        <v>2234160967</v>
      </c>
      <c r="L17" s="10">
        <f t="shared" si="4"/>
        <v>0</v>
      </c>
      <c r="M17" s="11">
        <v>2234160967</v>
      </c>
      <c r="N17" s="11">
        <v>0</v>
      </c>
      <c r="O17" s="11">
        <v>2234160967</v>
      </c>
      <c r="P17" s="11">
        <f t="shared" si="8"/>
        <v>0</v>
      </c>
      <c r="Q17" s="11">
        <f t="shared" si="5"/>
        <v>2234160967</v>
      </c>
      <c r="R17" s="11">
        <f t="shared" si="6"/>
        <v>0</v>
      </c>
      <c r="S17" s="184"/>
      <c r="T17" s="184"/>
      <c r="U17" s="184"/>
      <c r="V17" s="184"/>
      <c r="W17" s="184"/>
      <c r="X17" s="184"/>
      <c r="Y17" s="184"/>
      <c r="Z17" s="184"/>
      <c r="AA17" s="184"/>
    </row>
    <row r="18" spans="1:27" s="70" customFormat="1" x14ac:dyDescent="0.25">
      <c r="A18" s="99" t="s">
        <v>34</v>
      </c>
      <c r="B18" s="1" t="s">
        <v>35</v>
      </c>
      <c r="C18" s="11">
        <v>288174904</v>
      </c>
      <c r="D18" s="11">
        <v>0</v>
      </c>
      <c r="E18" s="11">
        <v>17622905</v>
      </c>
      <c r="F18" s="11">
        <v>0</v>
      </c>
      <c r="G18" s="11"/>
      <c r="H18" s="11">
        <v>0</v>
      </c>
      <c r="I18" s="11">
        <v>0</v>
      </c>
      <c r="J18" s="11">
        <f t="shared" si="3"/>
        <v>270551999</v>
      </c>
      <c r="K18" s="11">
        <v>270551999</v>
      </c>
      <c r="L18" s="10">
        <f t="shared" si="4"/>
        <v>0</v>
      </c>
      <c r="M18" s="11">
        <v>270551999</v>
      </c>
      <c r="N18" s="11">
        <v>0</v>
      </c>
      <c r="O18" s="11">
        <v>270551999</v>
      </c>
      <c r="P18" s="11">
        <f t="shared" si="8"/>
        <v>0</v>
      </c>
      <c r="Q18" s="11">
        <f t="shared" si="5"/>
        <v>270551999</v>
      </c>
      <c r="R18" s="11">
        <f t="shared" si="6"/>
        <v>0</v>
      </c>
      <c r="S18" s="123"/>
      <c r="T18" s="113"/>
      <c r="U18" s="113"/>
      <c r="V18" s="113"/>
      <c r="W18" s="113"/>
      <c r="X18" s="113"/>
      <c r="Y18" s="113"/>
      <c r="Z18" s="113"/>
      <c r="AA18" s="113"/>
    </row>
    <row r="19" spans="1:27" s="70" customFormat="1" x14ac:dyDescent="0.25">
      <c r="A19" s="99" t="s">
        <v>36</v>
      </c>
      <c r="B19" s="1" t="s">
        <v>37</v>
      </c>
      <c r="C19" s="11">
        <v>264627709</v>
      </c>
      <c r="D19" s="11">
        <v>555297</v>
      </c>
      <c r="E19" s="11">
        <v>16130417</v>
      </c>
      <c r="F19" s="11">
        <v>0</v>
      </c>
      <c r="G19" s="11"/>
      <c r="H19" s="11">
        <v>0</v>
      </c>
      <c r="I19" s="11">
        <v>0</v>
      </c>
      <c r="J19" s="11">
        <f t="shared" si="3"/>
        <v>249052589</v>
      </c>
      <c r="K19" s="11">
        <v>249052589</v>
      </c>
      <c r="L19" s="10">
        <f t="shared" si="4"/>
        <v>0</v>
      </c>
      <c r="M19" s="11">
        <v>249052589</v>
      </c>
      <c r="N19" s="11">
        <v>0</v>
      </c>
      <c r="O19" s="11">
        <v>249052589</v>
      </c>
      <c r="P19" s="11">
        <f t="shared" si="8"/>
        <v>0</v>
      </c>
      <c r="Q19" s="11">
        <f t="shared" si="5"/>
        <v>249052589</v>
      </c>
      <c r="R19" s="11">
        <f t="shared" si="6"/>
        <v>0</v>
      </c>
      <c r="S19" s="123"/>
      <c r="T19" s="113"/>
      <c r="U19" s="113"/>
      <c r="V19" s="113"/>
      <c r="W19" s="113"/>
      <c r="X19" s="113"/>
      <c r="Y19" s="113"/>
      <c r="Z19" s="113"/>
      <c r="AA19" s="113"/>
    </row>
    <row r="20" spans="1:27" s="70" customFormat="1" x14ac:dyDescent="0.25">
      <c r="A20" s="99" t="s">
        <v>38</v>
      </c>
      <c r="B20" s="1" t="s">
        <v>39</v>
      </c>
      <c r="C20" s="11">
        <v>4510871163</v>
      </c>
      <c r="D20" s="11">
        <v>0</v>
      </c>
      <c r="E20" s="11">
        <v>1102918747.55</v>
      </c>
      <c r="F20" s="11">
        <v>3000000000</v>
      </c>
      <c r="G20" s="11"/>
      <c r="H20" s="11">
        <v>0</v>
      </c>
      <c r="I20" s="11">
        <v>0</v>
      </c>
      <c r="J20" s="11">
        <f t="shared" si="3"/>
        <v>407952415.44999981</v>
      </c>
      <c r="K20" s="11">
        <v>405683823</v>
      </c>
      <c r="L20" s="10">
        <f t="shared" si="4"/>
        <v>2268592.4499998093</v>
      </c>
      <c r="M20" s="11">
        <v>405683823</v>
      </c>
      <c r="N20" s="11">
        <v>0</v>
      </c>
      <c r="O20" s="11">
        <v>405683823</v>
      </c>
      <c r="P20" s="11">
        <f t="shared" si="8"/>
        <v>2268592.4499998093</v>
      </c>
      <c r="Q20" s="11">
        <f t="shared" si="5"/>
        <v>405683823</v>
      </c>
      <c r="R20" s="11">
        <f t="shared" si="6"/>
        <v>0</v>
      </c>
      <c r="S20" s="123"/>
      <c r="T20" s="113"/>
      <c r="U20" s="113"/>
      <c r="V20" s="113"/>
      <c r="W20" s="113"/>
      <c r="X20" s="113"/>
      <c r="Y20" s="113"/>
      <c r="Z20" s="113"/>
      <c r="AA20" s="113"/>
    </row>
    <row r="21" spans="1:27" s="183" customFormat="1" x14ac:dyDescent="0.25">
      <c r="A21" s="4" t="s">
        <v>40</v>
      </c>
      <c r="B21" s="5" t="s">
        <v>41</v>
      </c>
      <c r="C21" s="10">
        <f>+C22</f>
        <v>557162264</v>
      </c>
      <c r="D21" s="10">
        <f>+D22</f>
        <v>0</v>
      </c>
      <c r="E21" s="10">
        <f t="shared" ref="E21:R21" si="9">+E22</f>
        <v>95373985</v>
      </c>
      <c r="F21" s="10">
        <f t="shared" si="9"/>
        <v>0</v>
      </c>
      <c r="G21" s="10">
        <f t="shared" si="9"/>
        <v>0</v>
      </c>
      <c r="H21" s="10">
        <f t="shared" si="9"/>
        <v>0</v>
      </c>
      <c r="I21" s="10">
        <f t="shared" si="9"/>
        <v>0</v>
      </c>
      <c r="J21" s="10">
        <f t="shared" si="9"/>
        <v>461788279</v>
      </c>
      <c r="K21" s="10">
        <f t="shared" si="9"/>
        <v>461788279</v>
      </c>
      <c r="L21" s="10">
        <f t="shared" si="4"/>
        <v>0</v>
      </c>
      <c r="M21" s="10">
        <f t="shared" si="9"/>
        <v>461788279</v>
      </c>
      <c r="N21" s="10">
        <f t="shared" si="9"/>
        <v>0</v>
      </c>
      <c r="O21" s="10">
        <f t="shared" si="9"/>
        <v>461788279</v>
      </c>
      <c r="P21" s="10">
        <f t="shared" si="9"/>
        <v>0</v>
      </c>
      <c r="Q21" s="10">
        <f t="shared" si="9"/>
        <v>461788279</v>
      </c>
      <c r="R21" s="10">
        <f t="shared" si="9"/>
        <v>0</v>
      </c>
      <c r="S21" s="111"/>
      <c r="T21" s="113"/>
      <c r="U21" s="113"/>
      <c r="V21" s="113"/>
      <c r="W21" s="113"/>
      <c r="X21" s="113"/>
      <c r="Y21" s="113"/>
      <c r="Z21" s="113"/>
      <c r="AA21" s="113"/>
    </row>
    <row r="22" spans="1:27" s="70" customFormat="1" x14ac:dyDescent="0.25">
      <c r="A22" s="99" t="s">
        <v>42</v>
      </c>
      <c r="B22" s="1" t="s">
        <v>43</v>
      </c>
      <c r="C22" s="11">
        <v>557162264</v>
      </c>
      <c r="D22" s="11">
        <v>0</v>
      </c>
      <c r="E22" s="11">
        <v>95373985</v>
      </c>
      <c r="F22" s="11">
        <v>0</v>
      </c>
      <c r="G22" s="11"/>
      <c r="H22" s="11">
        <v>0</v>
      </c>
      <c r="I22" s="11">
        <v>0</v>
      </c>
      <c r="J22" s="11">
        <f t="shared" si="3"/>
        <v>461788279</v>
      </c>
      <c r="K22" s="11">
        <v>461788279</v>
      </c>
      <c r="L22" s="10">
        <f t="shared" si="4"/>
        <v>0</v>
      </c>
      <c r="M22" s="11">
        <v>461788279</v>
      </c>
      <c r="N22" s="11">
        <v>0</v>
      </c>
      <c r="O22" s="11">
        <v>461788279</v>
      </c>
      <c r="P22" s="11">
        <f>+J22-O22</f>
        <v>0</v>
      </c>
      <c r="Q22" s="11">
        <f t="shared" si="5"/>
        <v>461788279</v>
      </c>
      <c r="R22" s="11">
        <f t="shared" si="6"/>
        <v>0</v>
      </c>
      <c r="S22" s="111"/>
      <c r="T22" s="113"/>
      <c r="U22" s="113"/>
      <c r="V22" s="113"/>
      <c r="W22" s="113"/>
      <c r="X22" s="113"/>
      <c r="Y22" s="113"/>
      <c r="Z22" s="113"/>
      <c r="AA22" s="113"/>
    </row>
    <row r="23" spans="1:27" s="183" customFormat="1" x14ac:dyDescent="0.25">
      <c r="A23" s="4" t="s">
        <v>44</v>
      </c>
      <c r="B23" s="5" t="s">
        <v>45</v>
      </c>
      <c r="C23" s="10">
        <f>+C24+C25</f>
        <v>11494773882</v>
      </c>
      <c r="D23" s="10">
        <f>+D24+D25</f>
        <v>75950554</v>
      </c>
      <c r="E23" s="10">
        <f t="shared" ref="E23:R23" si="10">+E24+E25</f>
        <v>511558101</v>
      </c>
      <c r="F23" s="10">
        <f t="shared" si="10"/>
        <v>0</v>
      </c>
      <c r="G23" s="10">
        <f t="shared" si="10"/>
        <v>0</v>
      </c>
      <c r="H23" s="10">
        <f t="shared" si="10"/>
        <v>0</v>
      </c>
      <c r="I23" s="10">
        <f t="shared" si="10"/>
        <v>0</v>
      </c>
      <c r="J23" s="10">
        <f t="shared" si="10"/>
        <v>11059166335</v>
      </c>
      <c r="K23" s="10">
        <f t="shared" si="10"/>
        <v>11053540371</v>
      </c>
      <c r="L23" s="10">
        <f t="shared" si="4"/>
        <v>5625964</v>
      </c>
      <c r="M23" s="10">
        <f t="shared" si="10"/>
        <v>11052883145</v>
      </c>
      <c r="N23" s="10">
        <f t="shared" si="10"/>
        <v>78283809</v>
      </c>
      <c r="O23" s="10">
        <f t="shared" si="10"/>
        <v>11059166335</v>
      </c>
      <c r="P23" s="10">
        <f t="shared" si="10"/>
        <v>0</v>
      </c>
      <c r="Q23" s="10">
        <f t="shared" si="10"/>
        <v>11052883145</v>
      </c>
      <c r="R23" s="10">
        <f t="shared" si="10"/>
        <v>657226</v>
      </c>
      <c r="S23" s="111"/>
      <c r="T23" s="113"/>
      <c r="U23" s="113"/>
      <c r="V23" s="113"/>
      <c r="W23" s="113"/>
      <c r="X23" s="113"/>
      <c r="Y23" s="113"/>
      <c r="Z23" s="113"/>
      <c r="AA23" s="113"/>
    </row>
    <row r="24" spans="1:27" s="70" customFormat="1" x14ac:dyDescent="0.25">
      <c r="A24" s="99" t="s">
        <v>46</v>
      </c>
      <c r="B24" s="1" t="s">
        <v>47</v>
      </c>
      <c r="C24" s="11">
        <v>8523590759</v>
      </c>
      <c r="D24" s="11">
        <v>27318929</v>
      </c>
      <c r="E24" s="11">
        <v>296763654</v>
      </c>
      <c r="F24" s="11">
        <v>0</v>
      </c>
      <c r="G24" s="11"/>
      <c r="H24" s="11">
        <v>0</v>
      </c>
      <c r="I24" s="11">
        <v>0</v>
      </c>
      <c r="J24" s="11">
        <f t="shared" si="3"/>
        <v>8254146034</v>
      </c>
      <c r="K24" s="11">
        <v>8248520070</v>
      </c>
      <c r="L24" s="10">
        <f t="shared" si="4"/>
        <v>5625964</v>
      </c>
      <c r="M24" s="11">
        <f>8170236261+77626583</f>
        <v>8247862844</v>
      </c>
      <c r="N24" s="11">
        <v>78283809</v>
      </c>
      <c r="O24" s="11">
        <v>8254146034</v>
      </c>
      <c r="P24" s="11">
        <f>+J24-O24</f>
        <v>0</v>
      </c>
      <c r="Q24" s="11">
        <f t="shared" si="5"/>
        <v>8247862844</v>
      </c>
      <c r="R24" s="11">
        <f t="shared" si="6"/>
        <v>657226</v>
      </c>
      <c r="S24" s="111"/>
      <c r="T24" s="113"/>
      <c r="U24" s="113"/>
      <c r="V24" s="113"/>
      <c r="W24" s="113"/>
      <c r="X24" s="113"/>
      <c r="Y24" s="113"/>
      <c r="Z24" s="113"/>
      <c r="AA24" s="113"/>
    </row>
    <row r="25" spans="1:27" s="70" customFormat="1" x14ac:dyDescent="0.25">
      <c r="A25" s="99" t="s">
        <v>48</v>
      </c>
      <c r="B25" s="1" t="s">
        <v>49</v>
      </c>
      <c r="C25" s="11">
        <v>2971183123</v>
      </c>
      <c r="D25" s="11">
        <v>48631625</v>
      </c>
      <c r="E25" s="11">
        <v>214794447</v>
      </c>
      <c r="F25" s="11">
        <v>0</v>
      </c>
      <c r="G25" s="11"/>
      <c r="H25" s="11">
        <v>0</v>
      </c>
      <c r="I25" s="11">
        <v>0</v>
      </c>
      <c r="J25" s="11">
        <f t="shared" si="3"/>
        <v>2805020301</v>
      </c>
      <c r="K25" s="11">
        <v>2805020301</v>
      </c>
      <c r="L25" s="10">
        <f t="shared" si="4"/>
        <v>0</v>
      </c>
      <c r="M25" s="11">
        <v>2805020301</v>
      </c>
      <c r="N25" s="11">
        <v>0</v>
      </c>
      <c r="O25" s="11">
        <v>2805020301</v>
      </c>
      <c r="P25" s="11">
        <f>+J25-O25</f>
        <v>0</v>
      </c>
      <c r="Q25" s="11">
        <f t="shared" si="5"/>
        <v>2805020301</v>
      </c>
      <c r="R25" s="11">
        <f t="shared" si="6"/>
        <v>0</v>
      </c>
      <c r="S25" s="111"/>
      <c r="T25" s="113"/>
      <c r="U25" s="113"/>
      <c r="V25" s="113"/>
      <c r="W25" s="113"/>
      <c r="X25" s="113"/>
      <c r="Y25" s="113"/>
      <c r="Z25" s="113"/>
      <c r="AA25" s="113"/>
    </row>
    <row r="26" spans="1:27" s="183" customFormat="1" x14ac:dyDescent="0.25">
      <c r="A26" s="4" t="s">
        <v>50</v>
      </c>
      <c r="B26" s="5" t="s">
        <v>51</v>
      </c>
      <c r="C26" s="10">
        <f>+C27</f>
        <v>2450626703</v>
      </c>
      <c r="D26" s="10">
        <f>+D27</f>
        <v>325096847</v>
      </c>
      <c r="E26" s="10">
        <f t="shared" ref="E26:R26" si="11">+E27</f>
        <v>0</v>
      </c>
      <c r="F26" s="10">
        <f t="shared" si="11"/>
        <v>1000000000</v>
      </c>
      <c r="G26" s="10">
        <f t="shared" si="11"/>
        <v>0</v>
      </c>
      <c r="H26" s="10">
        <f t="shared" si="11"/>
        <v>0</v>
      </c>
      <c r="I26" s="10">
        <f t="shared" si="11"/>
        <v>0</v>
      </c>
      <c r="J26" s="10">
        <f t="shared" si="11"/>
        <v>1775723550</v>
      </c>
      <c r="K26" s="10">
        <f t="shared" si="11"/>
        <v>1771967882</v>
      </c>
      <c r="L26" s="10">
        <f t="shared" si="4"/>
        <v>3755668</v>
      </c>
      <c r="M26" s="10">
        <f t="shared" si="11"/>
        <v>1771967882</v>
      </c>
      <c r="N26" s="10">
        <f t="shared" si="11"/>
        <v>0</v>
      </c>
      <c r="O26" s="10">
        <f t="shared" si="11"/>
        <v>1771967882</v>
      </c>
      <c r="P26" s="10">
        <f t="shared" si="11"/>
        <v>3755668</v>
      </c>
      <c r="Q26" s="10">
        <f t="shared" si="11"/>
        <v>1771967882</v>
      </c>
      <c r="R26" s="10">
        <f t="shared" si="11"/>
        <v>0</v>
      </c>
      <c r="S26" s="111"/>
      <c r="T26" s="113"/>
      <c r="U26" s="113"/>
      <c r="V26" s="113"/>
      <c r="W26" s="113"/>
      <c r="X26" s="113"/>
      <c r="Y26" s="113"/>
      <c r="Z26" s="113"/>
      <c r="AA26" s="113"/>
    </row>
    <row r="27" spans="1:27" s="70" customFormat="1" x14ac:dyDescent="0.25">
      <c r="A27" s="99" t="s">
        <v>52</v>
      </c>
      <c r="B27" s="1" t="s">
        <v>51</v>
      </c>
      <c r="C27" s="11">
        <v>2450626703</v>
      </c>
      <c r="D27" s="11">
        <v>325096847</v>
      </c>
      <c r="E27" s="11">
        <v>0</v>
      </c>
      <c r="F27" s="11">
        <v>1000000000</v>
      </c>
      <c r="G27" s="11"/>
      <c r="H27" s="11">
        <v>0</v>
      </c>
      <c r="I27" s="11">
        <v>0</v>
      </c>
      <c r="J27" s="11">
        <f t="shared" si="3"/>
        <v>1775723550</v>
      </c>
      <c r="K27" s="11">
        <v>1771967882</v>
      </c>
      <c r="L27" s="10">
        <f t="shared" si="4"/>
        <v>3755668</v>
      </c>
      <c r="M27" s="11">
        <v>1771967882</v>
      </c>
      <c r="N27" s="11">
        <v>0</v>
      </c>
      <c r="O27" s="11">
        <v>1771967882</v>
      </c>
      <c r="P27" s="11">
        <f>+J27-O27</f>
        <v>3755668</v>
      </c>
      <c r="Q27" s="11">
        <f t="shared" si="5"/>
        <v>1771967882</v>
      </c>
      <c r="R27" s="11">
        <f t="shared" si="6"/>
        <v>0</v>
      </c>
      <c r="S27" s="111"/>
      <c r="T27" s="113"/>
      <c r="U27" s="113"/>
      <c r="V27" s="113"/>
      <c r="W27" s="113"/>
      <c r="X27" s="113"/>
      <c r="Y27" s="113"/>
      <c r="Z27" s="113"/>
      <c r="AA27" s="113"/>
    </row>
    <row r="28" spans="1:27" s="183" customFormat="1" x14ac:dyDescent="0.25">
      <c r="A28" s="4" t="s">
        <v>53</v>
      </c>
      <c r="B28" s="5" t="s">
        <v>54</v>
      </c>
      <c r="C28" s="10">
        <f>+C29+C30</f>
        <v>560935800</v>
      </c>
      <c r="D28" s="10">
        <f>+D29+D30</f>
        <v>6000000</v>
      </c>
      <c r="E28" s="10">
        <f t="shared" ref="E28:R28" si="12">+E29+E30</f>
        <v>158829879</v>
      </c>
      <c r="F28" s="10">
        <f t="shared" si="12"/>
        <v>0</v>
      </c>
      <c r="G28" s="10">
        <f t="shared" si="12"/>
        <v>0</v>
      </c>
      <c r="H28" s="10">
        <f t="shared" si="12"/>
        <v>0</v>
      </c>
      <c r="I28" s="10">
        <f t="shared" si="12"/>
        <v>134047883</v>
      </c>
      <c r="J28" s="10">
        <f t="shared" si="12"/>
        <v>542153804</v>
      </c>
      <c r="K28" s="10">
        <f t="shared" si="12"/>
        <v>534994124</v>
      </c>
      <c r="L28" s="10">
        <f t="shared" si="4"/>
        <v>7159680</v>
      </c>
      <c r="M28" s="10">
        <f t="shared" si="12"/>
        <v>398742893</v>
      </c>
      <c r="N28" s="10">
        <f t="shared" si="12"/>
        <v>140168643</v>
      </c>
      <c r="O28" s="10">
        <f t="shared" si="12"/>
        <v>542153804</v>
      </c>
      <c r="P28" s="10">
        <f t="shared" si="12"/>
        <v>0</v>
      </c>
      <c r="Q28" s="10">
        <f t="shared" si="12"/>
        <v>398742893</v>
      </c>
      <c r="R28" s="10">
        <f t="shared" si="12"/>
        <v>136251231</v>
      </c>
      <c r="S28" s="111"/>
      <c r="T28" s="113"/>
      <c r="U28" s="113"/>
      <c r="V28" s="113"/>
      <c r="W28" s="113"/>
      <c r="X28" s="113"/>
      <c r="Y28" s="113"/>
      <c r="Z28" s="113"/>
      <c r="AA28" s="113"/>
    </row>
    <row r="29" spans="1:27" s="70" customFormat="1" x14ac:dyDescent="0.25">
      <c r="A29" s="99" t="s">
        <v>55</v>
      </c>
      <c r="B29" s="1" t="s">
        <v>56</v>
      </c>
      <c r="C29" s="11">
        <v>505935800</v>
      </c>
      <c r="D29" s="11">
        <v>0</v>
      </c>
      <c r="E29" s="11">
        <v>158829879</v>
      </c>
      <c r="F29" s="11">
        <v>0</v>
      </c>
      <c r="G29" s="11"/>
      <c r="H29" s="11">
        <v>0</v>
      </c>
      <c r="I29" s="11">
        <v>126047883</v>
      </c>
      <c r="J29" s="11">
        <f t="shared" si="3"/>
        <v>473153804</v>
      </c>
      <c r="K29" s="11">
        <v>465994124</v>
      </c>
      <c r="L29" s="10">
        <f t="shared" si="4"/>
        <v>7159680</v>
      </c>
      <c r="M29" s="11">
        <f>327730142+3917412</f>
        <v>331647554</v>
      </c>
      <c r="N29" s="11">
        <v>138263982</v>
      </c>
      <c r="O29" s="11">
        <v>473153804</v>
      </c>
      <c r="P29" s="11">
        <f>+J29-O29</f>
        <v>0</v>
      </c>
      <c r="Q29" s="11">
        <f t="shared" si="5"/>
        <v>331647554</v>
      </c>
      <c r="R29" s="11">
        <f t="shared" si="6"/>
        <v>134346570</v>
      </c>
      <c r="S29" s="111"/>
      <c r="T29" s="113"/>
      <c r="U29" s="113"/>
      <c r="V29" s="113"/>
      <c r="W29" s="113"/>
      <c r="X29" s="113"/>
      <c r="Y29" s="113"/>
      <c r="Z29" s="113"/>
      <c r="AA29" s="113"/>
    </row>
    <row r="30" spans="1:27" s="70" customFormat="1" x14ac:dyDescent="0.25">
      <c r="A30" s="99" t="s">
        <v>57</v>
      </c>
      <c r="B30" s="1" t="s">
        <v>58</v>
      </c>
      <c r="C30" s="11">
        <v>55000000</v>
      </c>
      <c r="D30" s="11">
        <v>6000000</v>
      </c>
      <c r="E30" s="11">
        <v>0</v>
      </c>
      <c r="F30" s="11">
        <v>0</v>
      </c>
      <c r="G30" s="11"/>
      <c r="H30" s="11">
        <v>0</v>
      </c>
      <c r="I30" s="11">
        <v>8000000</v>
      </c>
      <c r="J30" s="11">
        <f t="shared" si="3"/>
        <v>69000000</v>
      </c>
      <c r="K30" s="11">
        <v>69000000</v>
      </c>
      <c r="L30" s="10">
        <f t="shared" si="4"/>
        <v>0</v>
      </c>
      <c r="M30" s="11">
        <v>67095339</v>
      </c>
      <c r="N30" s="11">
        <v>1904661</v>
      </c>
      <c r="O30" s="11">
        <v>69000000</v>
      </c>
      <c r="P30" s="11">
        <f>+J30-O30</f>
        <v>0</v>
      </c>
      <c r="Q30" s="11">
        <f t="shared" si="5"/>
        <v>67095339</v>
      </c>
      <c r="R30" s="11">
        <f t="shared" si="6"/>
        <v>1904661</v>
      </c>
      <c r="S30" s="111"/>
      <c r="T30" s="113"/>
      <c r="U30" s="113"/>
      <c r="V30" s="113"/>
      <c r="W30" s="113"/>
      <c r="X30" s="113"/>
      <c r="Y30" s="113"/>
      <c r="Z30" s="113"/>
      <c r="AA30" s="113"/>
    </row>
    <row r="31" spans="1:27" s="70" customFormat="1" x14ac:dyDescent="0.25">
      <c r="A31" s="99" t="s">
        <v>59</v>
      </c>
      <c r="B31" s="1" t="s">
        <v>60</v>
      </c>
      <c r="C31" s="11">
        <v>95095000</v>
      </c>
      <c r="D31" s="11">
        <v>21006076</v>
      </c>
      <c r="E31" s="11">
        <v>18662116</v>
      </c>
      <c r="F31" s="11">
        <v>0</v>
      </c>
      <c r="G31" s="11"/>
      <c r="H31" s="11">
        <v>0</v>
      </c>
      <c r="I31" s="11">
        <v>0</v>
      </c>
      <c r="J31" s="11">
        <f t="shared" si="3"/>
        <v>97438960</v>
      </c>
      <c r="K31" s="11">
        <v>95004168</v>
      </c>
      <c r="L31" s="10">
        <f t="shared" si="4"/>
        <v>2434792</v>
      </c>
      <c r="M31" s="11">
        <f>95004168-1475868</f>
        <v>93528300</v>
      </c>
      <c r="N31" s="11">
        <v>10319947</v>
      </c>
      <c r="O31" s="11">
        <v>97438960</v>
      </c>
      <c r="P31" s="11">
        <f>+J31-O31</f>
        <v>0</v>
      </c>
      <c r="Q31" s="11">
        <f t="shared" si="5"/>
        <v>93528300</v>
      </c>
      <c r="R31" s="11">
        <f t="shared" si="6"/>
        <v>1475868</v>
      </c>
      <c r="S31" s="111"/>
      <c r="T31" s="113"/>
      <c r="U31" s="113"/>
      <c r="V31" s="113"/>
      <c r="W31" s="113"/>
      <c r="X31" s="113"/>
      <c r="Y31" s="113"/>
      <c r="Z31" s="113"/>
      <c r="AA31" s="113"/>
    </row>
    <row r="32" spans="1:27" s="183" customFormat="1" x14ac:dyDescent="0.25">
      <c r="A32" s="4" t="s">
        <v>61</v>
      </c>
      <c r="B32" s="5" t="s">
        <v>62</v>
      </c>
      <c r="C32" s="10">
        <f>+C33+C34</f>
        <v>14852178092</v>
      </c>
      <c r="D32" s="10">
        <f>+D33+D34</f>
        <v>5157121688</v>
      </c>
      <c r="E32" s="10">
        <f t="shared" ref="E32:R32" si="13">+E33+E34</f>
        <v>17055929</v>
      </c>
      <c r="F32" s="10">
        <f t="shared" si="13"/>
        <v>4332522228</v>
      </c>
      <c r="G32" s="10">
        <f t="shared" si="13"/>
        <v>0</v>
      </c>
      <c r="H32" s="10">
        <f t="shared" si="13"/>
        <v>0</v>
      </c>
      <c r="I32" s="10">
        <f t="shared" si="13"/>
        <v>0</v>
      </c>
      <c r="J32" s="10">
        <f t="shared" si="13"/>
        <v>15659721623</v>
      </c>
      <c r="K32" s="10">
        <f t="shared" si="13"/>
        <v>15659721623</v>
      </c>
      <c r="L32" s="10">
        <f t="shared" si="4"/>
        <v>0</v>
      </c>
      <c r="M32" s="10">
        <f t="shared" si="13"/>
        <v>15659721623</v>
      </c>
      <c r="N32" s="10">
        <f t="shared" si="13"/>
        <v>0</v>
      </c>
      <c r="O32" s="10">
        <f t="shared" si="13"/>
        <v>15659721623</v>
      </c>
      <c r="P32" s="10">
        <f t="shared" si="13"/>
        <v>0</v>
      </c>
      <c r="Q32" s="10">
        <f t="shared" si="13"/>
        <v>15659721623</v>
      </c>
      <c r="R32" s="10">
        <f t="shared" si="13"/>
        <v>0</v>
      </c>
      <c r="S32" s="111"/>
      <c r="T32" s="113"/>
      <c r="U32" s="113"/>
      <c r="V32" s="113"/>
      <c r="W32" s="113"/>
      <c r="X32" s="113"/>
      <c r="Y32" s="113"/>
      <c r="Z32" s="113"/>
      <c r="AA32" s="113"/>
    </row>
    <row r="33" spans="1:27" s="70" customFormat="1" x14ac:dyDescent="0.25">
      <c r="A33" s="99" t="s">
        <v>63</v>
      </c>
      <c r="B33" s="1" t="s">
        <v>64</v>
      </c>
      <c r="C33" s="11">
        <v>7652178092</v>
      </c>
      <c r="D33" s="11">
        <v>5095404500</v>
      </c>
      <c r="E33" s="11">
        <v>17055929</v>
      </c>
      <c r="F33" s="11">
        <v>2166261114</v>
      </c>
      <c r="G33" s="11"/>
      <c r="H33" s="11">
        <v>0</v>
      </c>
      <c r="I33" s="11">
        <v>0</v>
      </c>
      <c r="J33" s="11">
        <f t="shared" si="3"/>
        <v>10564265549</v>
      </c>
      <c r="K33" s="11">
        <v>10564265549</v>
      </c>
      <c r="L33" s="10">
        <f t="shared" si="4"/>
        <v>0</v>
      </c>
      <c r="M33" s="11">
        <v>10564265549</v>
      </c>
      <c r="N33" s="11">
        <v>0</v>
      </c>
      <c r="O33" s="11">
        <v>10564265549</v>
      </c>
      <c r="P33" s="11">
        <f>+J33-O33</f>
        <v>0</v>
      </c>
      <c r="Q33" s="11">
        <f t="shared" si="5"/>
        <v>10564265549</v>
      </c>
      <c r="R33" s="11">
        <f t="shared" si="6"/>
        <v>0</v>
      </c>
      <c r="S33" s="111"/>
      <c r="T33" s="113"/>
      <c r="U33" s="113"/>
      <c r="V33" s="113"/>
      <c r="W33" s="113"/>
      <c r="X33" s="113"/>
      <c r="Y33" s="113"/>
      <c r="Z33" s="113"/>
      <c r="AA33" s="113"/>
    </row>
    <row r="34" spans="1:27" s="70" customFormat="1" x14ac:dyDescent="0.25">
      <c r="A34" s="99" t="s">
        <v>65</v>
      </c>
      <c r="B34" s="1" t="s">
        <v>66</v>
      </c>
      <c r="C34" s="11">
        <v>7200000000</v>
      </c>
      <c r="D34" s="11">
        <v>61717188</v>
      </c>
      <c r="E34" s="11">
        <v>0</v>
      </c>
      <c r="F34" s="11">
        <v>2166261114</v>
      </c>
      <c r="G34" s="11"/>
      <c r="H34" s="11">
        <v>0</v>
      </c>
      <c r="I34" s="11">
        <v>0</v>
      </c>
      <c r="J34" s="11">
        <f t="shared" si="3"/>
        <v>5095456074</v>
      </c>
      <c r="K34" s="11">
        <v>5095456074</v>
      </c>
      <c r="L34" s="10">
        <f t="shared" si="4"/>
        <v>0</v>
      </c>
      <c r="M34" s="11">
        <v>5095456074</v>
      </c>
      <c r="N34" s="11">
        <v>0</v>
      </c>
      <c r="O34" s="11">
        <v>5095456074</v>
      </c>
      <c r="P34" s="11">
        <f>+J34-O34</f>
        <v>0</v>
      </c>
      <c r="Q34" s="11">
        <f t="shared" si="5"/>
        <v>5095456074</v>
      </c>
      <c r="R34" s="11">
        <f t="shared" si="6"/>
        <v>0</v>
      </c>
      <c r="S34" s="111"/>
      <c r="T34" s="113"/>
      <c r="U34" s="113"/>
      <c r="V34" s="113"/>
      <c r="W34" s="113"/>
      <c r="X34" s="113"/>
      <c r="Y34" s="113"/>
      <c r="Z34" s="113"/>
      <c r="AA34" s="113"/>
    </row>
    <row r="35" spans="1:27" s="183" customFormat="1" x14ac:dyDescent="0.25">
      <c r="A35" s="4" t="s">
        <v>67</v>
      </c>
      <c r="B35" s="5" t="s">
        <v>68</v>
      </c>
      <c r="C35" s="10">
        <f>+C36+C40+C43+C45+C50+C56+C62+C65+C69</f>
        <v>4221314374</v>
      </c>
      <c r="D35" s="10">
        <f>+D36+D40+D43+D45+D50+D56+D62+D65+D69</f>
        <v>0</v>
      </c>
      <c r="E35" s="10">
        <f t="shared" ref="E35:R35" si="14">+E36+E40+E43+E45+E50+E56+E62+E65+E69</f>
        <v>2809435</v>
      </c>
      <c r="F35" s="10">
        <f t="shared" si="14"/>
        <v>0</v>
      </c>
      <c r="G35" s="10">
        <f t="shared" si="14"/>
        <v>0</v>
      </c>
      <c r="H35" s="10">
        <f t="shared" si="14"/>
        <v>0</v>
      </c>
      <c r="I35" s="10">
        <f t="shared" si="14"/>
        <v>0</v>
      </c>
      <c r="J35" s="10">
        <f t="shared" si="14"/>
        <v>4218504939</v>
      </c>
      <c r="K35" s="10">
        <f t="shared" si="14"/>
        <v>4195782408</v>
      </c>
      <c r="L35" s="10">
        <f t="shared" si="4"/>
        <v>22722531</v>
      </c>
      <c r="M35" s="10">
        <f t="shared" si="14"/>
        <v>4060578164.8400002</v>
      </c>
      <c r="N35" s="10">
        <f t="shared" si="14"/>
        <v>464459261.15999997</v>
      </c>
      <c r="O35" s="10">
        <f t="shared" si="14"/>
        <v>4213604194</v>
      </c>
      <c r="P35" s="10">
        <f t="shared" si="14"/>
        <v>4900745</v>
      </c>
      <c r="Q35" s="10">
        <f t="shared" si="14"/>
        <v>4060578164.8400002</v>
      </c>
      <c r="R35" s="10">
        <f t="shared" si="14"/>
        <v>135204243.16</v>
      </c>
      <c r="S35" s="111"/>
      <c r="T35" s="112"/>
      <c r="U35" s="112"/>
      <c r="V35" s="112"/>
      <c r="W35" s="112"/>
      <c r="X35" s="112"/>
      <c r="Y35" s="112"/>
      <c r="Z35" s="112"/>
      <c r="AA35" s="112"/>
    </row>
    <row r="36" spans="1:27" s="183" customFormat="1" x14ac:dyDescent="0.25">
      <c r="A36" s="4" t="s">
        <v>69</v>
      </c>
      <c r="B36" s="5" t="s">
        <v>70</v>
      </c>
      <c r="C36" s="10">
        <f>SUM(C37:C39)</f>
        <v>59951562</v>
      </c>
      <c r="D36" s="10">
        <f t="shared" ref="D36:R36" si="15">SUM(D37:D39)</f>
        <v>0</v>
      </c>
      <c r="E36" s="10">
        <f t="shared" si="15"/>
        <v>0</v>
      </c>
      <c r="F36" s="10">
        <f t="shared" si="15"/>
        <v>0</v>
      </c>
      <c r="G36" s="10">
        <f t="shared" si="15"/>
        <v>0</v>
      </c>
      <c r="H36" s="10">
        <f t="shared" si="15"/>
        <v>0</v>
      </c>
      <c r="I36" s="10">
        <f t="shared" si="15"/>
        <v>0</v>
      </c>
      <c r="J36" s="10">
        <f t="shared" si="15"/>
        <v>59951562</v>
      </c>
      <c r="K36" s="10">
        <f t="shared" si="15"/>
        <v>59861241</v>
      </c>
      <c r="L36" s="10">
        <f t="shared" si="4"/>
        <v>90321</v>
      </c>
      <c r="M36" s="10">
        <f t="shared" si="15"/>
        <v>59861241</v>
      </c>
      <c r="N36" s="10">
        <f t="shared" si="15"/>
        <v>0</v>
      </c>
      <c r="O36" s="10">
        <f t="shared" si="15"/>
        <v>59951562</v>
      </c>
      <c r="P36" s="10">
        <f t="shared" si="15"/>
        <v>0</v>
      </c>
      <c r="Q36" s="10">
        <f t="shared" si="15"/>
        <v>59861241</v>
      </c>
      <c r="R36" s="10">
        <f t="shared" si="15"/>
        <v>0</v>
      </c>
      <c r="S36" s="111"/>
      <c r="T36" s="112"/>
      <c r="U36" s="112"/>
      <c r="V36" s="112"/>
      <c r="W36" s="112"/>
      <c r="X36" s="112"/>
      <c r="Y36" s="112"/>
      <c r="Z36" s="112"/>
      <c r="AA36" s="112"/>
    </row>
    <row r="37" spans="1:27" s="70" customFormat="1" x14ac:dyDescent="0.25">
      <c r="A37" s="99" t="s">
        <v>71</v>
      </c>
      <c r="B37" s="1" t="s">
        <v>72</v>
      </c>
      <c r="C37" s="11">
        <v>24750645</v>
      </c>
      <c r="D37" s="11">
        <v>0</v>
      </c>
      <c r="E37" s="11">
        <v>0</v>
      </c>
      <c r="F37" s="11">
        <v>0</v>
      </c>
      <c r="G37" s="11"/>
      <c r="H37" s="11">
        <v>0</v>
      </c>
      <c r="I37" s="11">
        <v>0</v>
      </c>
      <c r="J37" s="11">
        <f t="shared" si="3"/>
        <v>24750645</v>
      </c>
      <c r="K37" s="11">
        <v>24750645</v>
      </c>
      <c r="L37" s="10">
        <f t="shared" si="4"/>
        <v>0</v>
      </c>
      <c r="M37" s="11">
        <v>24750645</v>
      </c>
      <c r="N37" s="11">
        <v>0</v>
      </c>
      <c r="O37" s="11">
        <v>24750645</v>
      </c>
      <c r="P37" s="11">
        <f>+J37-O37</f>
        <v>0</v>
      </c>
      <c r="Q37" s="11">
        <f t="shared" si="5"/>
        <v>24750645</v>
      </c>
      <c r="R37" s="11">
        <f>+K37-M37</f>
        <v>0</v>
      </c>
      <c r="S37" s="111"/>
      <c r="T37" s="113"/>
      <c r="U37" s="113"/>
      <c r="V37" s="113"/>
      <c r="W37" s="113"/>
      <c r="X37" s="113"/>
      <c r="Y37" s="113"/>
      <c r="Z37" s="113"/>
      <c r="AA37" s="113"/>
    </row>
    <row r="38" spans="1:27" s="70" customFormat="1" x14ac:dyDescent="0.25">
      <c r="A38" s="99" t="s">
        <v>73</v>
      </c>
      <c r="B38" s="1" t="s">
        <v>74</v>
      </c>
      <c r="C38" s="11">
        <v>20625537</v>
      </c>
      <c r="D38" s="11">
        <v>0</v>
      </c>
      <c r="E38" s="11">
        <v>0</v>
      </c>
      <c r="F38" s="11">
        <v>0</v>
      </c>
      <c r="G38" s="11"/>
      <c r="H38" s="11">
        <v>0</v>
      </c>
      <c r="I38" s="11">
        <v>0</v>
      </c>
      <c r="J38" s="11">
        <f t="shared" si="3"/>
        <v>20625537</v>
      </c>
      <c r="K38" s="11">
        <v>20535216</v>
      </c>
      <c r="L38" s="10">
        <f t="shared" si="4"/>
        <v>90321</v>
      </c>
      <c r="M38" s="11">
        <v>20535216</v>
      </c>
      <c r="N38" s="11">
        <v>0</v>
      </c>
      <c r="O38" s="11">
        <v>20625537</v>
      </c>
      <c r="P38" s="11">
        <f>+J38-O38</f>
        <v>0</v>
      </c>
      <c r="Q38" s="11">
        <f t="shared" si="5"/>
        <v>20535216</v>
      </c>
      <c r="R38" s="11">
        <f>+K38-M38</f>
        <v>0</v>
      </c>
      <c r="S38" s="111"/>
      <c r="T38" s="113"/>
      <c r="U38" s="113"/>
      <c r="V38" s="113"/>
      <c r="W38" s="113"/>
      <c r="X38" s="113"/>
      <c r="Y38" s="113"/>
      <c r="Z38" s="113"/>
      <c r="AA38" s="113"/>
    </row>
    <row r="39" spans="1:27" s="70" customFormat="1" x14ac:dyDescent="0.25">
      <c r="A39" s="99" t="s">
        <v>75</v>
      </c>
      <c r="B39" s="1" t="s">
        <v>76</v>
      </c>
      <c r="C39" s="11">
        <v>14575380</v>
      </c>
      <c r="D39" s="11">
        <v>0</v>
      </c>
      <c r="E39" s="11">
        <v>0</v>
      </c>
      <c r="F39" s="11">
        <v>0</v>
      </c>
      <c r="G39" s="11"/>
      <c r="H39" s="11">
        <v>0</v>
      </c>
      <c r="I39" s="11">
        <v>0</v>
      </c>
      <c r="J39" s="11">
        <f t="shared" si="3"/>
        <v>14575380</v>
      </c>
      <c r="K39" s="11">
        <v>14575380</v>
      </c>
      <c r="L39" s="10">
        <f t="shared" si="4"/>
        <v>0</v>
      </c>
      <c r="M39" s="11">
        <v>14575380</v>
      </c>
      <c r="N39" s="11">
        <v>0</v>
      </c>
      <c r="O39" s="11">
        <v>14575380</v>
      </c>
      <c r="P39" s="11">
        <f>+J39-O39</f>
        <v>0</v>
      </c>
      <c r="Q39" s="11">
        <f t="shared" si="5"/>
        <v>14575380</v>
      </c>
      <c r="R39" s="11">
        <f>+K39-M39</f>
        <v>0</v>
      </c>
      <c r="S39" s="111"/>
      <c r="T39" s="113"/>
      <c r="U39" s="113"/>
      <c r="V39" s="113"/>
      <c r="W39" s="113"/>
      <c r="X39" s="113"/>
      <c r="Y39" s="113"/>
      <c r="Z39" s="113"/>
      <c r="AA39" s="113"/>
    </row>
    <row r="40" spans="1:27" s="183" customFormat="1" x14ac:dyDescent="0.25">
      <c r="A40" s="4" t="s">
        <v>77</v>
      </c>
      <c r="B40" s="5" t="s">
        <v>78</v>
      </c>
      <c r="C40" s="10">
        <f>+C41+C42</f>
        <v>57000000</v>
      </c>
      <c r="D40" s="10">
        <f>+D41+D42</f>
        <v>0</v>
      </c>
      <c r="E40" s="10">
        <f t="shared" ref="E40:R40" si="16">+E41+E42</f>
        <v>0</v>
      </c>
      <c r="F40" s="10">
        <f t="shared" si="16"/>
        <v>0</v>
      </c>
      <c r="G40" s="10">
        <f t="shared" si="16"/>
        <v>0</v>
      </c>
      <c r="H40" s="10">
        <f t="shared" si="16"/>
        <v>0</v>
      </c>
      <c r="I40" s="10">
        <f t="shared" si="16"/>
        <v>0</v>
      </c>
      <c r="J40" s="10">
        <f t="shared" si="16"/>
        <v>57000000</v>
      </c>
      <c r="K40" s="10">
        <f t="shared" si="16"/>
        <v>56846537</v>
      </c>
      <c r="L40" s="10">
        <f t="shared" si="4"/>
        <v>153463</v>
      </c>
      <c r="M40" s="10">
        <f t="shared" si="16"/>
        <v>56846537</v>
      </c>
      <c r="N40" s="10">
        <f t="shared" si="16"/>
        <v>0</v>
      </c>
      <c r="O40" s="10">
        <f t="shared" si="16"/>
        <v>57000000</v>
      </c>
      <c r="P40" s="10">
        <f t="shared" si="16"/>
        <v>0</v>
      </c>
      <c r="Q40" s="10">
        <f t="shared" si="16"/>
        <v>56846537</v>
      </c>
      <c r="R40" s="10">
        <f t="shared" si="16"/>
        <v>0</v>
      </c>
      <c r="S40" s="111"/>
      <c r="T40" s="113"/>
      <c r="U40" s="113"/>
      <c r="V40" s="113"/>
      <c r="W40" s="113"/>
      <c r="X40" s="113"/>
      <c r="Y40" s="113"/>
      <c r="Z40" s="113"/>
      <c r="AA40" s="113"/>
    </row>
    <row r="41" spans="1:27" s="70" customFormat="1" x14ac:dyDescent="0.25">
      <c r="A41" s="99" t="s">
        <v>79</v>
      </c>
      <c r="B41" s="1" t="s">
        <v>80</v>
      </c>
      <c r="C41" s="11">
        <v>13000000</v>
      </c>
      <c r="D41" s="11">
        <v>0</v>
      </c>
      <c r="E41" s="11">
        <v>0</v>
      </c>
      <c r="F41" s="11">
        <v>0</v>
      </c>
      <c r="G41" s="11"/>
      <c r="H41" s="11">
        <v>0</v>
      </c>
      <c r="I41" s="11">
        <v>0</v>
      </c>
      <c r="J41" s="11">
        <f t="shared" si="3"/>
        <v>13000000</v>
      </c>
      <c r="K41" s="11">
        <v>13000000</v>
      </c>
      <c r="L41" s="10">
        <f t="shared" si="4"/>
        <v>0</v>
      </c>
      <c r="M41" s="11">
        <v>13000000</v>
      </c>
      <c r="N41" s="11">
        <v>0</v>
      </c>
      <c r="O41" s="11">
        <v>13000000</v>
      </c>
      <c r="P41" s="11">
        <f>+J41-O41</f>
        <v>0</v>
      </c>
      <c r="Q41" s="11">
        <f t="shared" si="5"/>
        <v>13000000</v>
      </c>
      <c r="R41" s="11">
        <f>+K41-M41</f>
        <v>0</v>
      </c>
      <c r="S41" s="111"/>
      <c r="T41" s="113"/>
      <c r="U41" s="113"/>
      <c r="V41" s="113"/>
      <c r="W41" s="113"/>
      <c r="X41" s="113"/>
      <c r="Y41" s="113"/>
      <c r="Z41" s="113"/>
      <c r="AA41" s="113"/>
    </row>
    <row r="42" spans="1:27" s="70" customFormat="1" x14ac:dyDescent="0.25">
      <c r="A42" s="99" t="s">
        <v>81</v>
      </c>
      <c r="B42" s="1" t="s">
        <v>82</v>
      </c>
      <c r="C42" s="11">
        <v>44000000</v>
      </c>
      <c r="D42" s="11">
        <v>0</v>
      </c>
      <c r="E42" s="11">
        <v>0</v>
      </c>
      <c r="F42" s="11">
        <v>0</v>
      </c>
      <c r="G42" s="11"/>
      <c r="H42" s="11">
        <v>0</v>
      </c>
      <c r="I42" s="11">
        <v>0</v>
      </c>
      <c r="J42" s="11">
        <f t="shared" si="3"/>
        <v>44000000</v>
      </c>
      <c r="K42" s="11">
        <v>43846537</v>
      </c>
      <c r="L42" s="10">
        <f t="shared" si="4"/>
        <v>153463</v>
      </c>
      <c r="M42" s="11">
        <v>43846537</v>
      </c>
      <c r="N42" s="11">
        <v>0</v>
      </c>
      <c r="O42" s="11">
        <v>44000000</v>
      </c>
      <c r="P42" s="11">
        <f>+J42-O42</f>
        <v>0</v>
      </c>
      <c r="Q42" s="11">
        <f t="shared" si="5"/>
        <v>43846537</v>
      </c>
      <c r="R42" s="11">
        <f>+K42-M42</f>
        <v>0</v>
      </c>
      <c r="S42" s="111"/>
      <c r="T42" s="113"/>
      <c r="U42" s="113"/>
      <c r="V42" s="113"/>
      <c r="W42" s="113"/>
      <c r="X42" s="113"/>
      <c r="Y42" s="113"/>
      <c r="Z42" s="113"/>
      <c r="AA42" s="113"/>
    </row>
    <row r="43" spans="1:27" s="183" customFormat="1" x14ac:dyDescent="0.25">
      <c r="A43" s="4" t="s">
        <v>83</v>
      </c>
      <c r="B43" s="5" t="s">
        <v>84</v>
      </c>
      <c r="C43" s="10">
        <f>+C44</f>
        <v>64841528</v>
      </c>
      <c r="D43" s="10">
        <f t="shared" ref="D43:R43" si="17">+D44</f>
        <v>0</v>
      </c>
      <c r="E43" s="10">
        <f t="shared" si="17"/>
        <v>0</v>
      </c>
      <c r="F43" s="10">
        <f t="shared" si="17"/>
        <v>0</v>
      </c>
      <c r="G43" s="10">
        <f t="shared" si="17"/>
        <v>0</v>
      </c>
      <c r="H43" s="10">
        <f t="shared" si="17"/>
        <v>0</v>
      </c>
      <c r="I43" s="10">
        <f t="shared" si="17"/>
        <v>0</v>
      </c>
      <c r="J43" s="10">
        <f t="shared" si="17"/>
        <v>64841528</v>
      </c>
      <c r="K43" s="10">
        <f t="shared" si="17"/>
        <v>64841528</v>
      </c>
      <c r="L43" s="10">
        <f t="shared" si="4"/>
        <v>0</v>
      </c>
      <c r="M43" s="10">
        <f t="shared" si="17"/>
        <v>64841528</v>
      </c>
      <c r="N43" s="10">
        <f t="shared" si="17"/>
        <v>0</v>
      </c>
      <c r="O43" s="10">
        <f t="shared" si="17"/>
        <v>64841528</v>
      </c>
      <c r="P43" s="10">
        <f t="shared" si="17"/>
        <v>0</v>
      </c>
      <c r="Q43" s="10">
        <f t="shared" si="17"/>
        <v>64841528</v>
      </c>
      <c r="R43" s="10">
        <f t="shared" si="17"/>
        <v>0</v>
      </c>
      <c r="S43" s="111"/>
      <c r="T43" s="113"/>
      <c r="U43" s="113"/>
      <c r="V43" s="113"/>
      <c r="W43" s="113"/>
      <c r="X43" s="113"/>
      <c r="Y43" s="113"/>
      <c r="Z43" s="113"/>
      <c r="AA43" s="113"/>
    </row>
    <row r="44" spans="1:27" s="70" customFormat="1" x14ac:dyDescent="0.25">
      <c r="A44" s="99" t="s">
        <v>85</v>
      </c>
      <c r="B44" s="1" t="s">
        <v>86</v>
      </c>
      <c r="C44" s="11">
        <v>64841528</v>
      </c>
      <c r="D44" s="11">
        <v>0</v>
      </c>
      <c r="E44" s="11">
        <v>0</v>
      </c>
      <c r="F44" s="11">
        <v>0</v>
      </c>
      <c r="G44" s="11"/>
      <c r="H44" s="11">
        <v>0</v>
      </c>
      <c r="I44" s="11">
        <v>0</v>
      </c>
      <c r="J44" s="11">
        <f t="shared" si="3"/>
        <v>64841528</v>
      </c>
      <c r="K44" s="11">
        <v>64841528</v>
      </c>
      <c r="L44" s="10">
        <f t="shared" si="4"/>
        <v>0</v>
      </c>
      <c r="M44" s="11">
        <v>64841528</v>
      </c>
      <c r="N44" s="11">
        <v>0</v>
      </c>
      <c r="O44" s="11">
        <v>64841528</v>
      </c>
      <c r="P44" s="11">
        <f>+J44-O44</f>
        <v>0</v>
      </c>
      <c r="Q44" s="11">
        <f t="shared" si="5"/>
        <v>64841528</v>
      </c>
      <c r="R44" s="11">
        <f>+K44-M44</f>
        <v>0</v>
      </c>
      <c r="S44" s="111"/>
      <c r="T44" s="113"/>
      <c r="U44" s="113"/>
      <c r="V44" s="113"/>
      <c r="W44" s="113"/>
      <c r="X44" s="113"/>
      <c r="Y44" s="113"/>
      <c r="Z44" s="113"/>
      <c r="AA44" s="113"/>
    </row>
    <row r="45" spans="1:27" s="183" customFormat="1" x14ac:dyDescent="0.25">
      <c r="A45" s="4" t="s">
        <v>87</v>
      </c>
      <c r="B45" s="5" t="s">
        <v>88</v>
      </c>
      <c r="C45" s="10">
        <f>SUM(C46:C49)</f>
        <v>666400000</v>
      </c>
      <c r="D45" s="10">
        <f t="shared" ref="D45:R45" si="18">SUM(D46:D49)</f>
        <v>0</v>
      </c>
      <c r="E45" s="10">
        <f t="shared" si="18"/>
        <v>0</v>
      </c>
      <c r="F45" s="10">
        <f t="shared" si="18"/>
        <v>0</v>
      </c>
      <c r="G45" s="10">
        <f t="shared" si="18"/>
        <v>0</v>
      </c>
      <c r="H45" s="10">
        <f t="shared" si="18"/>
        <v>0</v>
      </c>
      <c r="I45" s="10">
        <f t="shared" si="18"/>
        <v>0</v>
      </c>
      <c r="J45" s="10">
        <f t="shared" si="18"/>
        <v>666400000</v>
      </c>
      <c r="K45" s="10">
        <f t="shared" si="18"/>
        <v>658796877</v>
      </c>
      <c r="L45" s="10">
        <f t="shared" si="4"/>
        <v>7603123</v>
      </c>
      <c r="M45" s="10">
        <f t="shared" si="18"/>
        <v>624265081</v>
      </c>
      <c r="N45" s="10">
        <f t="shared" si="18"/>
        <v>11850646</v>
      </c>
      <c r="O45" s="10">
        <f t="shared" si="18"/>
        <v>666400000</v>
      </c>
      <c r="P45" s="10">
        <f t="shared" si="18"/>
        <v>0</v>
      </c>
      <c r="Q45" s="10">
        <f t="shared" si="18"/>
        <v>624265081</v>
      </c>
      <c r="R45" s="10">
        <f t="shared" si="18"/>
        <v>34531796</v>
      </c>
      <c r="S45" s="111"/>
      <c r="T45" s="113"/>
      <c r="U45" s="113"/>
      <c r="V45" s="113"/>
      <c r="W45" s="113"/>
      <c r="X45" s="113"/>
      <c r="Y45" s="113"/>
      <c r="Z45" s="113"/>
      <c r="AA45" s="113"/>
    </row>
    <row r="46" spans="1:27" s="70" customFormat="1" x14ac:dyDescent="0.25">
      <c r="A46" s="99" t="s">
        <v>89</v>
      </c>
      <c r="B46" s="1" t="s">
        <v>90</v>
      </c>
      <c r="C46" s="11">
        <v>217473445</v>
      </c>
      <c r="D46" s="11">
        <v>0</v>
      </c>
      <c r="E46" s="11">
        <v>0</v>
      </c>
      <c r="F46" s="11">
        <v>0</v>
      </c>
      <c r="G46" s="11"/>
      <c r="H46" s="11">
        <v>0</v>
      </c>
      <c r="I46" s="11">
        <v>0</v>
      </c>
      <c r="J46" s="11">
        <f t="shared" si="3"/>
        <v>217473445</v>
      </c>
      <c r="K46" s="11">
        <v>210202501</v>
      </c>
      <c r="L46" s="10">
        <f t="shared" si="4"/>
        <v>7270944</v>
      </c>
      <c r="M46" s="11">
        <f>200337891+9864610</f>
        <v>210202501</v>
      </c>
      <c r="N46" s="11">
        <v>9864610</v>
      </c>
      <c r="O46" s="11">
        <v>217473445</v>
      </c>
      <c r="P46" s="11">
        <f>+J46-O46</f>
        <v>0</v>
      </c>
      <c r="Q46" s="11">
        <f t="shared" si="5"/>
        <v>210202501</v>
      </c>
      <c r="R46" s="11">
        <f>+K46-M46</f>
        <v>0</v>
      </c>
      <c r="S46" s="111"/>
      <c r="T46" s="113"/>
      <c r="U46" s="113"/>
      <c r="V46" s="113"/>
      <c r="W46" s="113"/>
      <c r="X46" s="113"/>
      <c r="Y46" s="113"/>
      <c r="Z46" s="113"/>
      <c r="AA46" s="113"/>
    </row>
    <row r="47" spans="1:27" s="70" customFormat="1" x14ac:dyDescent="0.25">
      <c r="A47" s="99" t="s">
        <v>91</v>
      </c>
      <c r="B47" s="1" t="s">
        <v>92</v>
      </c>
      <c r="C47" s="11">
        <v>105866150</v>
      </c>
      <c r="D47" s="11">
        <v>0</v>
      </c>
      <c r="E47" s="11">
        <v>0</v>
      </c>
      <c r="F47" s="11">
        <v>0</v>
      </c>
      <c r="G47" s="11"/>
      <c r="H47" s="11">
        <v>0</v>
      </c>
      <c r="I47" s="11">
        <v>0</v>
      </c>
      <c r="J47" s="11">
        <f t="shared" si="3"/>
        <v>105866150</v>
      </c>
      <c r="K47" s="11">
        <v>105866150</v>
      </c>
      <c r="L47" s="10">
        <f t="shared" si="4"/>
        <v>0</v>
      </c>
      <c r="M47" s="11">
        <v>105866150</v>
      </c>
      <c r="N47" s="11">
        <v>0</v>
      </c>
      <c r="O47" s="11">
        <v>105866150</v>
      </c>
      <c r="P47" s="11">
        <f>+J47-O47</f>
        <v>0</v>
      </c>
      <c r="Q47" s="11">
        <f t="shared" si="5"/>
        <v>105866150</v>
      </c>
      <c r="R47" s="11">
        <f>+K47-M47</f>
        <v>0</v>
      </c>
      <c r="S47" s="111"/>
      <c r="T47" s="113"/>
      <c r="U47" s="113"/>
      <c r="V47" s="113"/>
      <c r="W47" s="113"/>
      <c r="X47" s="113"/>
      <c r="Y47" s="113"/>
      <c r="Z47" s="113"/>
      <c r="AA47" s="113"/>
    </row>
    <row r="48" spans="1:27" s="70" customFormat="1" x14ac:dyDescent="0.25">
      <c r="A48" s="99" t="s">
        <v>93</v>
      </c>
      <c r="B48" s="1" t="s">
        <v>94</v>
      </c>
      <c r="C48" s="11">
        <v>68912517</v>
      </c>
      <c r="D48" s="11">
        <v>0</v>
      </c>
      <c r="E48" s="11">
        <v>0</v>
      </c>
      <c r="F48" s="11">
        <v>0</v>
      </c>
      <c r="G48" s="11"/>
      <c r="H48" s="11">
        <v>0</v>
      </c>
      <c r="I48" s="11">
        <v>0</v>
      </c>
      <c r="J48" s="11">
        <f t="shared" si="3"/>
        <v>68912517</v>
      </c>
      <c r="K48" s="11">
        <v>68713338</v>
      </c>
      <c r="L48" s="10">
        <f t="shared" si="4"/>
        <v>199179</v>
      </c>
      <c r="M48" s="11">
        <f>68353387+359951</f>
        <v>68713338</v>
      </c>
      <c r="N48" s="11">
        <v>359951</v>
      </c>
      <c r="O48" s="11">
        <v>68912517</v>
      </c>
      <c r="P48" s="11">
        <f>+J48-O48</f>
        <v>0</v>
      </c>
      <c r="Q48" s="11">
        <f t="shared" si="5"/>
        <v>68713338</v>
      </c>
      <c r="R48" s="11">
        <f>+K48-M48</f>
        <v>0</v>
      </c>
      <c r="S48" s="111"/>
      <c r="T48" s="113"/>
      <c r="U48" s="113"/>
      <c r="V48" s="113"/>
      <c r="W48" s="113"/>
      <c r="X48" s="113"/>
      <c r="Y48" s="113"/>
      <c r="Z48" s="113"/>
      <c r="AA48" s="113"/>
    </row>
    <row r="49" spans="1:27" s="70" customFormat="1" x14ac:dyDescent="0.25">
      <c r="A49" s="99" t="s">
        <v>95</v>
      </c>
      <c r="B49" s="1" t="s">
        <v>96</v>
      </c>
      <c r="C49" s="11">
        <v>274147888</v>
      </c>
      <c r="D49" s="11">
        <v>0</v>
      </c>
      <c r="E49" s="11">
        <v>0</v>
      </c>
      <c r="F49" s="11">
        <v>0</v>
      </c>
      <c r="G49" s="11"/>
      <c r="H49" s="11">
        <v>0</v>
      </c>
      <c r="I49" s="11">
        <v>0</v>
      </c>
      <c r="J49" s="11">
        <f t="shared" si="3"/>
        <v>274147888</v>
      </c>
      <c r="K49" s="11">
        <v>274014888</v>
      </c>
      <c r="L49" s="10">
        <f t="shared" si="4"/>
        <v>133000</v>
      </c>
      <c r="M49" s="11">
        <f>272388803-32905711</f>
        <v>239483092</v>
      </c>
      <c r="N49" s="11">
        <v>1626085</v>
      </c>
      <c r="O49" s="11">
        <v>274147888</v>
      </c>
      <c r="P49" s="11">
        <f>+J49-O49</f>
        <v>0</v>
      </c>
      <c r="Q49" s="11">
        <f t="shared" si="5"/>
        <v>239483092</v>
      </c>
      <c r="R49" s="11">
        <f>+K49-M49</f>
        <v>34531796</v>
      </c>
      <c r="S49" s="111"/>
      <c r="T49" s="113"/>
      <c r="U49" s="113"/>
      <c r="V49" s="113"/>
      <c r="W49" s="113"/>
      <c r="X49" s="113"/>
      <c r="Y49" s="113"/>
      <c r="Z49" s="113"/>
      <c r="AA49" s="113"/>
    </row>
    <row r="50" spans="1:27" s="183" customFormat="1" x14ac:dyDescent="0.25">
      <c r="A50" s="4" t="s">
        <v>97</v>
      </c>
      <c r="B50" s="5" t="s">
        <v>98</v>
      </c>
      <c r="C50" s="10">
        <f>SUM(C51:C55)</f>
        <v>1083000002</v>
      </c>
      <c r="D50" s="10">
        <f>SUM(D51:D55)</f>
        <v>0</v>
      </c>
      <c r="E50" s="10">
        <f t="shared" ref="E50:R50" si="19">SUM(E51:E55)</f>
        <v>0</v>
      </c>
      <c r="F50" s="10">
        <f t="shared" si="19"/>
        <v>0</v>
      </c>
      <c r="G50" s="10">
        <f t="shared" si="19"/>
        <v>0</v>
      </c>
      <c r="H50" s="10">
        <f t="shared" si="19"/>
        <v>0</v>
      </c>
      <c r="I50" s="10">
        <f t="shared" si="19"/>
        <v>0</v>
      </c>
      <c r="J50" s="10">
        <f t="shared" si="19"/>
        <v>1083000002</v>
      </c>
      <c r="K50" s="10">
        <f t="shared" si="19"/>
        <v>1073325474</v>
      </c>
      <c r="L50" s="10">
        <f t="shared" si="4"/>
        <v>9674528</v>
      </c>
      <c r="M50" s="10">
        <f t="shared" si="19"/>
        <v>972653027</v>
      </c>
      <c r="N50" s="10">
        <f t="shared" si="19"/>
        <v>153115967</v>
      </c>
      <c r="O50" s="10">
        <f t="shared" si="19"/>
        <v>1083000002</v>
      </c>
      <c r="P50" s="10">
        <f t="shared" si="19"/>
        <v>0</v>
      </c>
      <c r="Q50" s="10">
        <f t="shared" si="19"/>
        <v>972653027</v>
      </c>
      <c r="R50" s="10">
        <f t="shared" si="19"/>
        <v>100672447</v>
      </c>
      <c r="S50" s="111"/>
      <c r="T50" s="113"/>
      <c r="U50" s="113"/>
      <c r="V50" s="113"/>
      <c r="W50" s="113"/>
      <c r="X50" s="113"/>
      <c r="Y50" s="113"/>
      <c r="Z50" s="113"/>
      <c r="AA50" s="113"/>
    </row>
    <row r="51" spans="1:27" s="70" customFormat="1" x14ac:dyDescent="0.25">
      <c r="A51" s="99" t="s">
        <v>99</v>
      </c>
      <c r="B51" s="1" t="s">
        <v>100</v>
      </c>
      <c r="C51" s="11">
        <v>64858899</v>
      </c>
      <c r="D51" s="11">
        <v>0</v>
      </c>
      <c r="E51" s="11">
        <v>0</v>
      </c>
      <c r="F51" s="11">
        <v>0</v>
      </c>
      <c r="G51" s="11"/>
      <c r="H51" s="11">
        <v>0</v>
      </c>
      <c r="I51" s="11">
        <v>0</v>
      </c>
      <c r="J51" s="11">
        <f t="shared" si="3"/>
        <v>64858899</v>
      </c>
      <c r="K51" s="11">
        <v>61384192</v>
      </c>
      <c r="L51" s="10">
        <f t="shared" si="4"/>
        <v>3474707</v>
      </c>
      <c r="M51" s="11">
        <v>61384192</v>
      </c>
      <c r="N51" s="11">
        <v>0</v>
      </c>
      <c r="O51" s="11">
        <v>64858899</v>
      </c>
      <c r="P51" s="11">
        <f>+J51-O51</f>
        <v>0</v>
      </c>
      <c r="Q51" s="11">
        <f t="shared" si="5"/>
        <v>61384192</v>
      </c>
      <c r="R51" s="11">
        <f>+K51-M51</f>
        <v>0</v>
      </c>
      <c r="S51" s="111"/>
      <c r="T51" s="113"/>
      <c r="U51" s="113"/>
      <c r="V51" s="113"/>
      <c r="W51" s="113"/>
      <c r="X51" s="113"/>
      <c r="Y51" s="113"/>
      <c r="Z51" s="113"/>
      <c r="AA51" s="113"/>
    </row>
    <row r="52" spans="1:27" s="70" customFormat="1" x14ac:dyDescent="0.25">
      <c r="A52" s="99" t="s">
        <v>101</v>
      </c>
      <c r="B52" s="1" t="s">
        <v>102</v>
      </c>
      <c r="C52" s="11">
        <v>607051554</v>
      </c>
      <c r="D52" s="11">
        <v>0</v>
      </c>
      <c r="E52" s="11">
        <v>0</v>
      </c>
      <c r="F52" s="11">
        <v>0</v>
      </c>
      <c r="G52" s="11"/>
      <c r="H52" s="11">
        <v>0</v>
      </c>
      <c r="I52" s="11">
        <v>0</v>
      </c>
      <c r="J52" s="11">
        <f t="shared" si="3"/>
        <v>607051554</v>
      </c>
      <c r="K52" s="11">
        <v>601134096</v>
      </c>
      <c r="L52" s="10">
        <f t="shared" si="4"/>
        <v>5917458</v>
      </c>
      <c r="M52" s="11">
        <f>593483583-24378107</f>
        <v>569105476</v>
      </c>
      <c r="N52" s="11">
        <v>8490000</v>
      </c>
      <c r="O52" s="11">
        <v>607051554</v>
      </c>
      <c r="P52" s="11">
        <f>+J52-O52</f>
        <v>0</v>
      </c>
      <c r="Q52" s="11">
        <f t="shared" si="5"/>
        <v>569105476</v>
      </c>
      <c r="R52" s="11">
        <f>+K52-M52</f>
        <v>32028620</v>
      </c>
      <c r="S52" s="111"/>
      <c r="T52" s="113"/>
      <c r="U52" s="113"/>
      <c r="V52" s="113"/>
      <c r="W52" s="113"/>
      <c r="X52" s="113"/>
      <c r="Y52" s="113"/>
      <c r="Z52" s="113"/>
      <c r="AA52" s="113"/>
    </row>
    <row r="53" spans="1:27" s="70" customFormat="1" x14ac:dyDescent="0.25">
      <c r="A53" s="99" t="s">
        <v>103</v>
      </c>
      <c r="B53" s="1" t="s">
        <v>104</v>
      </c>
      <c r="C53" s="11">
        <v>64251700</v>
      </c>
      <c r="D53" s="11">
        <v>0</v>
      </c>
      <c r="E53" s="11">
        <v>0</v>
      </c>
      <c r="F53" s="11">
        <v>0</v>
      </c>
      <c r="G53" s="11"/>
      <c r="H53" s="11">
        <v>0</v>
      </c>
      <c r="I53" s="11">
        <v>0</v>
      </c>
      <c r="J53" s="11">
        <f t="shared" si="3"/>
        <v>64251700</v>
      </c>
      <c r="K53" s="11">
        <v>64241680</v>
      </c>
      <c r="L53" s="10">
        <f t="shared" si="4"/>
        <v>10020</v>
      </c>
      <c r="M53" s="11">
        <f>50459803+12567928</f>
        <v>63027731</v>
      </c>
      <c r="N53" s="11">
        <v>13781877</v>
      </c>
      <c r="O53" s="11">
        <v>64251700</v>
      </c>
      <c r="P53" s="11">
        <f>+J53-O53</f>
        <v>0</v>
      </c>
      <c r="Q53" s="11">
        <f t="shared" si="5"/>
        <v>63027731</v>
      </c>
      <c r="R53" s="11">
        <f>+K53-M53</f>
        <v>1213949</v>
      </c>
      <c r="S53" s="111"/>
      <c r="T53" s="113"/>
      <c r="U53" s="113"/>
      <c r="V53" s="113"/>
      <c r="W53" s="113"/>
      <c r="X53" s="113"/>
      <c r="Y53" s="113"/>
      <c r="Z53" s="113"/>
      <c r="AA53" s="113"/>
    </row>
    <row r="54" spans="1:27" s="70" customFormat="1" x14ac:dyDescent="0.25">
      <c r="A54" s="99" t="s">
        <v>105</v>
      </c>
      <c r="B54" s="1" t="s">
        <v>106</v>
      </c>
      <c r="C54" s="11">
        <v>291095125</v>
      </c>
      <c r="D54" s="11">
        <v>0</v>
      </c>
      <c r="E54" s="11">
        <v>0</v>
      </c>
      <c r="F54" s="11">
        <v>0</v>
      </c>
      <c r="G54" s="11"/>
      <c r="H54" s="11">
        <v>0</v>
      </c>
      <c r="I54" s="11">
        <v>0</v>
      </c>
      <c r="J54" s="11">
        <f t="shared" si="3"/>
        <v>291095125</v>
      </c>
      <c r="K54" s="11">
        <v>290954962</v>
      </c>
      <c r="L54" s="10">
        <f t="shared" si="4"/>
        <v>140163</v>
      </c>
      <c r="M54" s="11">
        <f>184698752+54569459</f>
        <v>239268211</v>
      </c>
      <c r="N54" s="11">
        <v>106256210</v>
      </c>
      <c r="O54" s="11">
        <v>291095125</v>
      </c>
      <c r="P54" s="11">
        <f>+J54-O54</f>
        <v>0</v>
      </c>
      <c r="Q54" s="11">
        <f t="shared" si="5"/>
        <v>239268211</v>
      </c>
      <c r="R54" s="11">
        <f>+K54-M54</f>
        <v>51686751</v>
      </c>
      <c r="S54" s="111"/>
      <c r="T54" s="113"/>
      <c r="U54" s="113"/>
      <c r="V54" s="113"/>
      <c r="W54" s="113"/>
      <c r="X54" s="113"/>
      <c r="Y54" s="113"/>
      <c r="Z54" s="113"/>
      <c r="AA54" s="113"/>
    </row>
    <row r="55" spans="1:27" s="70" customFormat="1" x14ac:dyDescent="0.25">
      <c r="A55" s="99" t="s">
        <v>107</v>
      </c>
      <c r="B55" s="1" t="s">
        <v>108</v>
      </c>
      <c r="C55" s="11">
        <v>55742724</v>
      </c>
      <c r="D55" s="11">
        <v>0</v>
      </c>
      <c r="E55" s="11">
        <v>0</v>
      </c>
      <c r="F55" s="11">
        <v>0</v>
      </c>
      <c r="G55" s="11"/>
      <c r="H55" s="11">
        <v>0</v>
      </c>
      <c r="I55" s="11">
        <v>0</v>
      </c>
      <c r="J55" s="11">
        <f t="shared" si="3"/>
        <v>55742724</v>
      </c>
      <c r="K55" s="11">
        <v>55610544</v>
      </c>
      <c r="L55" s="10">
        <f t="shared" si="4"/>
        <v>132180</v>
      </c>
      <c r="M55" s="11">
        <f>31022664+8844753</f>
        <v>39867417</v>
      </c>
      <c r="N55" s="11">
        <v>24587880</v>
      </c>
      <c r="O55" s="11">
        <v>55742724</v>
      </c>
      <c r="P55" s="11">
        <f>+J55-O55</f>
        <v>0</v>
      </c>
      <c r="Q55" s="11">
        <f t="shared" si="5"/>
        <v>39867417</v>
      </c>
      <c r="R55" s="11">
        <f>+K55-M55</f>
        <v>15743127</v>
      </c>
      <c r="S55" s="111"/>
      <c r="T55" s="113"/>
      <c r="U55" s="113"/>
      <c r="V55" s="113"/>
      <c r="W55" s="113"/>
      <c r="X55" s="113"/>
      <c r="Y55" s="113"/>
      <c r="Z55" s="113"/>
      <c r="AA55" s="113"/>
    </row>
    <row r="56" spans="1:27" s="183" customFormat="1" x14ac:dyDescent="0.25">
      <c r="A56" s="4" t="s">
        <v>109</v>
      </c>
      <c r="B56" s="5" t="s">
        <v>110</v>
      </c>
      <c r="C56" s="10">
        <f>SUM(C57:C61)</f>
        <v>42000002</v>
      </c>
      <c r="D56" s="10">
        <f>SUM(D57:D61)</f>
        <v>0</v>
      </c>
      <c r="E56" s="10">
        <f t="shared" ref="E56:R56" si="20">SUM(E57:E61)</f>
        <v>2809435</v>
      </c>
      <c r="F56" s="10">
        <f t="shared" si="20"/>
        <v>0</v>
      </c>
      <c r="G56" s="10">
        <f t="shared" si="20"/>
        <v>0</v>
      </c>
      <c r="H56" s="10">
        <f t="shared" si="20"/>
        <v>0</v>
      </c>
      <c r="I56" s="10">
        <f t="shared" si="20"/>
        <v>0</v>
      </c>
      <c r="J56" s="10">
        <f t="shared" si="20"/>
        <v>39190567</v>
      </c>
      <c r="K56" s="10">
        <f t="shared" si="20"/>
        <v>39189823</v>
      </c>
      <c r="L56" s="10">
        <f t="shared" si="4"/>
        <v>744</v>
      </c>
      <c r="M56" s="10">
        <f t="shared" si="20"/>
        <v>39189823</v>
      </c>
      <c r="N56" s="10">
        <f t="shared" si="20"/>
        <v>0</v>
      </c>
      <c r="O56" s="10">
        <f t="shared" si="20"/>
        <v>39190567</v>
      </c>
      <c r="P56" s="10">
        <f t="shared" si="20"/>
        <v>0</v>
      </c>
      <c r="Q56" s="10">
        <f t="shared" si="20"/>
        <v>39189823</v>
      </c>
      <c r="R56" s="10">
        <f t="shared" si="20"/>
        <v>0</v>
      </c>
      <c r="S56" s="111"/>
      <c r="T56" s="113"/>
      <c r="U56" s="113"/>
      <c r="V56" s="113"/>
      <c r="W56" s="113"/>
      <c r="X56" s="113"/>
      <c r="Y56" s="113"/>
      <c r="Z56" s="113"/>
      <c r="AA56" s="113"/>
    </row>
    <row r="57" spans="1:27" s="70" customFormat="1" x14ac:dyDescent="0.25">
      <c r="A57" s="99" t="s">
        <v>111</v>
      </c>
      <c r="B57" s="1" t="s">
        <v>112</v>
      </c>
      <c r="C57" s="11">
        <v>10603451</v>
      </c>
      <c r="D57" s="11">
        <v>0</v>
      </c>
      <c r="E57" s="11">
        <v>0</v>
      </c>
      <c r="F57" s="11">
        <v>0</v>
      </c>
      <c r="G57" s="11"/>
      <c r="H57" s="11">
        <v>0</v>
      </c>
      <c r="I57" s="11">
        <v>0</v>
      </c>
      <c r="J57" s="11">
        <f t="shared" si="3"/>
        <v>10603451</v>
      </c>
      <c r="K57" s="11">
        <v>10603451</v>
      </c>
      <c r="L57" s="10">
        <f t="shared" si="4"/>
        <v>0</v>
      </c>
      <c r="M57" s="11">
        <v>10603451</v>
      </c>
      <c r="N57" s="11">
        <v>0</v>
      </c>
      <c r="O57" s="11">
        <v>10603451</v>
      </c>
      <c r="P57" s="11">
        <f>+J57-O57</f>
        <v>0</v>
      </c>
      <c r="Q57" s="11">
        <f t="shared" si="5"/>
        <v>10603451</v>
      </c>
      <c r="R57" s="11">
        <f>+K57-M57</f>
        <v>0</v>
      </c>
      <c r="S57" s="111"/>
      <c r="T57" s="113"/>
      <c r="U57" s="113"/>
      <c r="V57" s="113"/>
      <c r="W57" s="113"/>
      <c r="X57" s="113"/>
      <c r="Y57" s="113"/>
      <c r="Z57" s="113"/>
      <c r="AA57" s="113"/>
    </row>
    <row r="58" spans="1:27" s="70" customFormat="1" x14ac:dyDescent="0.25">
      <c r="A58" s="99" t="s">
        <v>113</v>
      </c>
      <c r="B58" s="1" t="s">
        <v>114</v>
      </c>
      <c r="C58" s="11">
        <v>11818263</v>
      </c>
      <c r="D58" s="11">
        <v>0</v>
      </c>
      <c r="E58" s="11">
        <v>0</v>
      </c>
      <c r="F58" s="11">
        <v>0</v>
      </c>
      <c r="G58" s="11"/>
      <c r="H58" s="11">
        <v>0</v>
      </c>
      <c r="I58" s="11">
        <v>0</v>
      </c>
      <c r="J58" s="11">
        <f t="shared" si="3"/>
        <v>11818263</v>
      </c>
      <c r="K58" s="11">
        <v>11818263</v>
      </c>
      <c r="L58" s="10">
        <f t="shared" si="4"/>
        <v>0</v>
      </c>
      <c r="M58" s="11">
        <v>11818263</v>
      </c>
      <c r="N58" s="11">
        <v>0</v>
      </c>
      <c r="O58" s="11">
        <v>11818263</v>
      </c>
      <c r="P58" s="11">
        <f>+J58-O58</f>
        <v>0</v>
      </c>
      <c r="Q58" s="11">
        <f t="shared" si="5"/>
        <v>11818263</v>
      </c>
      <c r="R58" s="11">
        <f>+K58-M58</f>
        <v>0</v>
      </c>
      <c r="S58" s="111"/>
      <c r="T58" s="113"/>
      <c r="U58" s="113"/>
      <c r="V58" s="113"/>
      <c r="W58" s="113"/>
      <c r="X58" s="113"/>
      <c r="Y58" s="113"/>
      <c r="Z58" s="113"/>
      <c r="AA58" s="113"/>
    </row>
    <row r="59" spans="1:27" s="70" customFormat="1" x14ac:dyDescent="0.25">
      <c r="A59" s="99" t="s">
        <v>115</v>
      </c>
      <c r="B59" s="1" t="s">
        <v>116</v>
      </c>
      <c r="C59" s="11">
        <v>1690072</v>
      </c>
      <c r="D59" s="11">
        <v>0</v>
      </c>
      <c r="E59" s="11">
        <v>690072</v>
      </c>
      <c r="F59" s="11">
        <v>0</v>
      </c>
      <c r="G59" s="11"/>
      <c r="H59" s="11">
        <v>0</v>
      </c>
      <c r="I59" s="11">
        <v>0</v>
      </c>
      <c r="J59" s="11">
        <f t="shared" si="3"/>
        <v>1000000</v>
      </c>
      <c r="K59" s="11">
        <v>1000000</v>
      </c>
      <c r="L59" s="10">
        <f t="shared" si="4"/>
        <v>0</v>
      </c>
      <c r="M59" s="11">
        <v>1000000</v>
      </c>
      <c r="N59" s="11">
        <v>0</v>
      </c>
      <c r="O59" s="11">
        <v>1000000</v>
      </c>
      <c r="P59" s="11">
        <f>+J59-O59</f>
        <v>0</v>
      </c>
      <c r="Q59" s="11">
        <f t="shared" si="5"/>
        <v>1000000</v>
      </c>
      <c r="R59" s="11">
        <f>+K59-M59</f>
        <v>0</v>
      </c>
      <c r="S59" s="111"/>
      <c r="T59" s="113"/>
      <c r="U59" s="113"/>
      <c r="V59" s="113"/>
      <c r="W59" s="113"/>
      <c r="X59" s="113"/>
      <c r="Y59" s="113"/>
      <c r="Z59" s="113"/>
      <c r="AA59" s="113"/>
    </row>
    <row r="60" spans="1:27" s="70" customFormat="1" x14ac:dyDescent="0.25">
      <c r="A60" s="99" t="s">
        <v>117</v>
      </c>
      <c r="B60" s="1" t="s">
        <v>118</v>
      </c>
      <c r="C60" s="11">
        <v>4119363</v>
      </c>
      <c r="D60" s="11">
        <v>0</v>
      </c>
      <c r="E60" s="11">
        <v>2119363</v>
      </c>
      <c r="F60" s="11">
        <v>0</v>
      </c>
      <c r="G60" s="11"/>
      <c r="H60" s="11">
        <v>0</v>
      </c>
      <c r="I60" s="11">
        <v>0</v>
      </c>
      <c r="J60" s="11">
        <f t="shared" si="3"/>
        <v>2000000</v>
      </c>
      <c r="K60" s="11">
        <v>2000000</v>
      </c>
      <c r="L60" s="10">
        <f t="shared" si="4"/>
        <v>0</v>
      </c>
      <c r="M60" s="11">
        <v>2000000</v>
      </c>
      <c r="N60" s="11">
        <v>0</v>
      </c>
      <c r="O60" s="11">
        <v>2000000</v>
      </c>
      <c r="P60" s="11">
        <f>+J60-O60</f>
        <v>0</v>
      </c>
      <c r="Q60" s="11">
        <f t="shared" si="5"/>
        <v>2000000</v>
      </c>
      <c r="R60" s="11">
        <f>+K60-M60</f>
        <v>0</v>
      </c>
      <c r="S60" s="111"/>
      <c r="T60" s="113"/>
      <c r="U60" s="113"/>
      <c r="V60" s="113"/>
      <c r="W60" s="113"/>
      <c r="X60" s="113"/>
      <c r="Y60" s="113"/>
      <c r="Z60" s="113"/>
      <c r="AA60" s="113"/>
    </row>
    <row r="61" spans="1:27" s="70" customFormat="1" x14ac:dyDescent="0.25">
      <c r="A61" s="99" t="s">
        <v>119</v>
      </c>
      <c r="B61" s="1" t="s">
        <v>120</v>
      </c>
      <c r="C61" s="11">
        <v>13768853</v>
      </c>
      <c r="D61" s="11">
        <v>0</v>
      </c>
      <c r="E61" s="11">
        <v>0</v>
      </c>
      <c r="F61" s="11">
        <v>0</v>
      </c>
      <c r="G61" s="11"/>
      <c r="H61" s="11">
        <v>0</v>
      </c>
      <c r="I61" s="11">
        <v>0</v>
      </c>
      <c r="J61" s="11">
        <f t="shared" si="3"/>
        <v>13768853</v>
      </c>
      <c r="K61" s="11">
        <v>13768109</v>
      </c>
      <c r="L61" s="10">
        <f t="shared" si="4"/>
        <v>744</v>
      </c>
      <c r="M61" s="11">
        <v>13768109</v>
      </c>
      <c r="N61" s="11">
        <v>0</v>
      </c>
      <c r="O61" s="11">
        <v>13768853</v>
      </c>
      <c r="P61" s="11">
        <f>+J61-O61</f>
        <v>0</v>
      </c>
      <c r="Q61" s="11">
        <f t="shared" si="5"/>
        <v>13768109</v>
      </c>
      <c r="R61" s="11">
        <f>+K61-M61</f>
        <v>0</v>
      </c>
      <c r="S61" s="111"/>
      <c r="T61" s="113"/>
      <c r="U61" s="113"/>
      <c r="V61" s="113"/>
      <c r="W61" s="113"/>
      <c r="X61" s="113"/>
      <c r="Y61" s="113"/>
      <c r="Z61" s="113"/>
      <c r="AA61" s="113"/>
    </row>
    <row r="62" spans="1:27" s="183" customFormat="1" x14ac:dyDescent="0.25">
      <c r="A62" s="4" t="s">
        <v>121</v>
      </c>
      <c r="B62" s="5" t="s">
        <v>122</v>
      </c>
      <c r="C62" s="10">
        <f>+C63+C64</f>
        <v>259027614</v>
      </c>
      <c r="D62" s="10">
        <f>+D63+D64</f>
        <v>0</v>
      </c>
      <c r="E62" s="10">
        <f t="shared" ref="E62:R62" si="21">+E63+E64</f>
        <v>0</v>
      </c>
      <c r="F62" s="10">
        <f t="shared" si="21"/>
        <v>0</v>
      </c>
      <c r="G62" s="10">
        <f t="shared" si="21"/>
        <v>0</v>
      </c>
      <c r="H62" s="10">
        <f t="shared" si="21"/>
        <v>0</v>
      </c>
      <c r="I62" s="10">
        <f t="shared" si="21"/>
        <v>0</v>
      </c>
      <c r="J62" s="10">
        <f t="shared" si="21"/>
        <v>259027614</v>
      </c>
      <c r="K62" s="10">
        <f t="shared" si="21"/>
        <v>258939084</v>
      </c>
      <c r="L62" s="10">
        <f t="shared" si="4"/>
        <v>88530</v>
      </c>
      <c r="M62" s="10">
        <f t="shared" si="21"/>
        <v>258939084</v>
      </c>
      <c r="N62" s="10">
        <f t="shared" si="21"/>
        <v>26005962</v>
      </c>
      <c r="O62" s="10">
        <f t="shared" si="21"/>
        <v>259027614</v>
      </c>
      <c r="P62" s="10">
        <f t="shared" si="21"/>
        <v>0</v>
      </c>
      <c r="Q62" s="10">
        <f t="shared" si="21"/>
        <v>258939084</v>
      </c>
      <c r="R62" s="10">
        <f t="shared" si="21"/>
        <v>0</v>
      </c>
      <c r="S62" s="111"/>
      <c r="T62" s="113"/>
      <c r="U62" s="113"/>
      <c r="V62" s="113"/>
      <c r="W62" s="113"/>
      <c r="X62" s="113"/>
      <c r="Y62" s="113"/>
      <c r="Z62" s="113"/>
      <c r="AA62" s="113"/>
    </row>
    <row r="63" spans="1:27" s="70" customFormat="1" x14ac:dyDescent="0.25">
      <c r="A63" s="99" t="s">
        <v>123</v>
      </c>
      <c r="B63" s="1" t="s">
        <v>124</v>
      </c>
      <c r="C63" s="11">
        <v>106000000</v>
      </c>
      <c r="D63" s="11">
        <v>0</v>
      </c>
      <c r="E63" s="11">
        <v>0</v>
      </c>
      <c r="F63" s="11">
        <v>0</v>
      </c>
      <c r="G63" s="11"/>
      <c r="H63" s="11">
        <v>0</v>
      </c>
      <c r="I63" s="11">
        <v>0</v>
      </c>
      <c r="J63" s="11">
        <f t="shared" si="3"/>
        <v>106000000</v>
      </c>
      <c r="K63" s="11">
        <v>106000000</v>
      </c>
      <c r="L63" s="10">
        <f t="shared" si="4"/>
        <v>0</v>
      </c>
      <c r="M63" s="11">
        <v>106000000</v>
      </c>
      <c r="N63" s="11">
        <v>0</v>
      </c>
      <c r="O63" s="11">
        <v>106000000</v>
      </c>
      <c r="P63" s="11">
        <f>+J63-O63</f>
        <v>0</v>
      </c>
      <c r="Q63" s="11">
        <f t="shared" si="5"/>
        <v>106000000</v>
      </c>
      <c r="R63" s="11">
        <f>+K63-M63</f>
        <v>0</v>
      </c>
      <c r="S63" s="111"/>
      <c r="T63" s="113"/>
      <c r="U63" s="113"/>
      <c r="V63" s="113"/>
      <c r="W63" s="113"/>
      <c r="X63" s="113"/>
      <c r="Y63" s="113"/>
      <c r="Z63" s="113"/>
      <c r="AA63" s="113"/>
    </row>
    <row r="64" spans="1:27" s="70" customFormat="1" x14ac:dyDescent="0.25">
      <c r="A64" s="99" t="s">
        <v>125</v>
      </c>
      <c r="B64" s="1" t="s">
        <v>126</v>
      </c>
      <c r="C64" s="11">
        <v>153027614</v>
      </c>
      <c r="D64" s="11">
        <v>0</v>
      </c>
      <c r="E64" s="11">
        <v>0</v>
      </c>
      <c r="F64" s="11">
        <v>0</v>
      </c>
      <c r="G64" s="11"/>
      <c r="H64" s="11">
        <v>0</v>
      </c>
      <c r="I64" s="11">
        <v>0</v>
      </c>
      <c r="J64" s="11">
        <f t="shared" si="3"/>
        <v>153027614</v>
      </c>
      <c r="K64" s="11">
        <v>152939084</v>
      </c>
      <c r="L64" s="10">
        <f t="shared" si="4"/>
        <v>88530</v>
      </c>
      <c r="M64" s="11">
        <f>146933122+6005962</f>
        <v>152939084</v>
      </c>
      <c r="N64" s="11">
        <v>26005962</v>
      </c>
      <c r="O64" s="11">
        <v>153027614</v>
      </c>
      <c r="P64" s="11">
        <f>+J64-O64</f>
        <v>0</v>
      </c>
      <c r="Q64" s="11">
        <f t="shared" si="5"/>
        <v>152939084</v>
      </c>
      <c r="R64" s="11">
        <f>+K64-M64</f>
        <v>0</v>
      </c>
      <c r="S64" s="111"/>
      <c r="T64" s="113"/>
      <c r="U64" s="113"/>
      <c r="V64" s="113"/>
      <c r="W64" s="113"/>
      <c r="X64" s="113"/>
      <c r="Y64" s="113"/>
      <c r="Z64" s="113"/>
      <c r="AA64" s="113"/>
    </row>
    <row r="65" spans="1:27" s="183" customFormat="1" x14ac:dyDescent="0.25">
      <c r="A65" s="4" t="s">
        <v>127</v>
      </c>
      <c r="B65" s="5" t="s">
        <v>128</v>
      </c>
      <c r="C65" s="10">
        <f>SUM(C66:C68)</f>
        <v>341055051</v>
      </c>
      <c r="D65" s="10">
        <f>SUM(D66:D68)</f>
        <v>0</v>
      </c>
      <c r="E65" s="10">
        <f t="shared" ref="E65:R65" si="22">SUM(E66:E68)</f>
        <v>0</v>
      </c>
      <c r="F65" s="10">
        <f t="shared" si="22"/>
        <v>0</v>
      </c>
      <c r="G65" s="10">
        <f t="shared" si="22"/>
        <v>0</v>
      </c>
      <c r="H65" s="10">
        <f t="shared" si="22"/>
        <v>0</v>
      </c>
      <c r="I65" s="10">
        <f t="shared" si="22"/>
        <v>0</v>
      </c>
      <c r="J65" s="10">
        <f t="shared" si="22"/>
        <v>341055051</v>
      </c>
      <c r="K65" s="10">
        <f t="shared" si="22"/>
        <v>336154306</v>
      </c>
      <c r="L65" s="10">
        <f t="shared" si="4"/>
        <v>4900745</v>
      </c>
      <c r="M65" s="10">
        <f t="shared" si="22"/>
        <v>336154305.84000003</v>
      </c>
      <c r="N65" s="10">
        <f t="shared" si="22"/>
        <v>21049183.159999996</v>
      </c>
      <c r="O65" s="10">
        <f t="shared" si="22"/>
        <v>336154306</v>
      </c>
      <c r="P65" s="10">
        <f t="shared" si="22"/>
        <v>4900745</v>
      </c>
      <c r="Q65" s="10">
        <f t="shared" si="22"/>
        <v>336154305.84000003</v>
      </c>
      <c r="R65" s="10">
        <f t="shared" si="22"/>
        <v>0.15999999642372131</v>
      </c>
      <c r="S65" s="111"/>
      <c r="T65" s="113"/>
      <c r="U65" s="113"/>
      <c r="V65" s="113"/>
      <c r="W65" s="113"/>
      <c r="X65" s="113"/>
      <c r="Y65" s="113"/>
      <c r="Z65" s="113"/>
      <c r="AA65" s="113"/>
    </row>
    <row r="66" spans="1:27" s="70" customFormat="1" x14ac:dyDescent="0.25">
      <c r="A66" s="99" t="s">
        <v>129</v>
      </c>
      <c r="B66" s="1" t="s">
        <v>130</v>
      </c>
      <c r="C66" s="11">
        <v>121185959</v>
      </c>
      <c r="D66" s="11">
        <v>0</v>
      </c>
      <c r="E66" s="11">
        <v>0</v>
      </c>
      <c r="F66" s="11">
        <v>0</v>
      </c>
      <c r="G66" s="11"/>
      <c r="H66" s="11">
        <v>0</v>
      </c>
      <c r="I66" s="11">
        <v>0</v>
      </c>
      <c r="J66" s="11">
        <f t="shared" si="3"/>
        <v>121185959</v>
      </c>
      <c r="K66" s="11">
        <v>117493549</v>
      </c>
      <c r="L66" s="10">
        <f t="shared" si="4"/>
        <v>3692410</v>
      </c>
      <c r="M66" s="11">
        <f>112822764.84+4670784</f>
        <v>117493548.84</v>
      </c>
      <c r="N66" s="11">
        <v>4670784.1599999964</v>
      </c>
      <c r="O66" s="11">
        <v>117493549</v>
      </c>
      <c r="P66" s="11">
        <f>+J66-O66</f>
        <v>3692410</v>
      </c>
      <c r="Q66" s="11">
        <f t="shared" si="5"/>
        <v>117493548.84</v>
      </c>
      <c r="R66" s="11">
        <f>+K66-M66</f>
        <v>0.15999999642372131</v>
      </c>
      <c r="S66" s="111"/>
      <c r="T66" s="113"/>
      <c r="U66" s="113"/>
      <c r="V66" s="113"/>
      <c r="W66" s="113"/>
      <c r="X66" s="113"/>
      <c r="Y66" s="113"/>
      <c r="Z66" s="113"/>
      <c r="AA66" s="113"/>
    </row>
    <row r="67" spans="1:27" s="70" customFormat="1" x14ac:dyDescent="0.25">
      <c r="A67" s="99" t="s">
        <v>131</v>
      </c>
      <c r="B67" s="1" t="s">
        <v>132</v>
      </c>
      <c r="C67" s="11">
        <v>157958873</v>
      </c>
      <c r="D67" s="11">
        <v>0</v>
      </c>
      <c r="E67" s="11">
        <v>0</v>
      </c>
      <c r="F67" s="11">
        <v>0</v>
      </c>
      <c r="G67" s="11"/>
      <c r="H67" s="11">
        <v>0</v>
      </c>
      <c r="I67" s="11">
        <v>0</v>
      </c>
      <c r="J67" s="11">
        <f t="shared" si="3"/>
        <v>157958873</v>
      </c>
      <c r="K67" s="11">
        <v>156750538</v>
      </c>
      <c r="L67" s="10">
        <f t="shared" si="4"/>
        <v>1208335</v>
      </c>
      <c r="M67" s="11">
        <f>140372139+16378399</f>
        <v>156750538</v>
      </c>
      <c r="N67" s="11">
        <v>16378399</v>
      </c>
      <c r="O67" s="11">
        <v>156750538</v>
      </c>
      <c r="P67" s="11">
        <f>+J67-O67</f>
        <v>1208335</v>
      </c>
      <c r="Q67" s="11">
        <f t="shared" si="5"/>
        <v>156750538</v>
      </c>
      <c r="R67" s="11">
        <f>+K67-M67</f>
        <v>0</v>
      </c>
      <c r="S67" s="111"/>
      <c r="T67" s="113"/>
      <c r="U67" s="113"/>
      <c r="V67" s="113"/>
      <c r="W67" s="113"/>
      <c r="X67" s="113"/>
      <c r="Y67" s="113"/>
      <c r="Z67" s="113"/>
      <c r="AA67" s="113"/>
    </row>
    <row r="68" spans="1:27" s="70" customFormat="1" x14ac:dyDescent="0.25">
      <c r="A68" s="99" t="s">
        <v>133</v>
      </c>
      <c r="B68" s="1" t="s">
        <v>134</v>
      </c>
      <c r="C68" s="11">
        <v>61910219</v>
      </c>
      <c r="D68" s="11">
        <v>0</v>
      </c>
      <c r="E68" s="11">
        <v>0</v>
      </c>
      <c r="F68" s="11">
        <v>0</v>
      </c>
      <c r="G68" s="11"/>
      <c r="H68" s="11">
        <v>0</v>
      </c>
      <c r="I68" s="11">
        <v>0</v>
      </c>
      <c r="J68" s="11">
        <f t="shared" si="3"/>
        <v>61910219</v>
      </c>
      <c r="K68" s="11">
        <v>61910219</v>
      </c>
      <c r="L68" s="10">
        <f t="shared" si="4"/>
        <v>0</v>
      </c>
      <c r="M68" s="11">
        <v>61910219</v>
      </c>
      <c r="N68" s="11">
        <v>0</v>
      </c>
      <c r="O68" s="11">
        <v>61910219</v>
      </c>
      <c r="P68" s="11">
        <f>+J68-O68</f>
        <v>0</v>
      </c>
      <c r="Q68" s="11">
        <f t="shared" si="5"/>
        <v>61910219</v>
      </c>
      <c r="R68" s="11">
        <f>+K68-M68</f>
        <v>0</v>
      </c>
      <c r="S68" s="111"/>
      <c r="T68" s="113"/>
      <c r="U68" s="113"/>
      <c r="V68" s="113"/>
      <c r="W68" s="113"/>
      <c r="X68" s="113"/>
      <c r="Y68" s="113"/>
      <c r="Z68" s="113"/>
      <c r="AA68" s="113"/>
    </row>
    <row r="69" spans="1:27" s="183" customFormat="1" x14ac:dyDescent="0.25">
      <c r="A69" s="4" t="s">
        <v>135</v>
      </c>
      <c r="B69" s="5" t="s">
        <v>136</v>
      </c>
      <c r="C69" s="10">
        <f>SUM(C70:C73)</f>
        <v>1648038615</v>
      </c>
      <c r="D69" s="10">
        <f>SUM(D70:D73)</f>
        <v>0</v>
      </c>
      <c r="E69" s="10">
        <f t="shared" ref="E69:R69" si="23">SUM(E70:E73)</f>
        <v>0</v>
      </c>
      <c r="F69" s="10">
        <f t="shared" si="23"/>
        <v>0</v>
      </c>
      <c r="G69" s="10">
        <f t="shared" si="23"/>
        <v>0</v>
      </c>
      <c r="H69" s="10">
        <f t="shared" si="23"/>
        <v>0</v>
      </c>
      <c r="I69" s="10">
        <f t="shared" si="23"/>
        <v>0</v>
      </c>
      <c r="J69" s="10">
        <f t="shared" si="23"/>
        <v>1648038615</v>
      </c>
      <c r="K69" s="10">
        <f t="shared" si="23"/>
        <v>1647827538</v>
      </c>
      <c r="L69" s="10">
        <f t="shared" si="4"/>
        <v>211077</v>
      </c>
      <c r="M69" s="10">
        <f t="shared" si="23"/>
        <v>1647827538</v>
      </c>
      <c r="N69" s="10">
        <f t="shared" si="23"/>
        <v>252437503</v>
      </c>
      <c r="O69" s="10">
        <f t="shared" si="23"/>
        <v>1648038615</v>
      </c>
      <c r="P69" s="10">
        <f t="shared" si="23"/>
        <v>0</v>
      </c>
      <c r="Q69" s="10">
        <f t="shared" si="23"/>
        <v>1647827538</v>
      </c>
      <c r="R69" s="10">
        <f t="shared" si="23"/>
        <v>0</v>
      </c>
      <c r="S69" s="111"/>
      <c r="T69" s="113"/>
      <c r="U69" s="113"/>
      <c r="V69" s="113"/>
      <c r="W69" s="113"/>
      <c r="X69" s="113"/>
      <c r="Y69" s="113"/>
      <c r="Z69" s="113"/>
      <c r="AA69" s="113"/>
    </row>
    <row r="70" spans="1:27" s="70" customFormat="1" x14ac:dyDescent="0.25">
      <c r="A70" s="99" t="s">
        <v>137</v>
      </c>
      <c r="B70" s="1" t="s">
        <v>138</v>
      </c>
      <c r="C70" s="11">
        <v>1002334991</v>
      </c>
      <c r="D70" s="11">
        <v>0</v>
      </c>
      <c r="E70" s="11">
        <v>0</v>
      </c>
      <c r="F70" s="11">
        <v>0</v>
      </c>
      <c r="G70" s="11"/>
      <c r="H70" s="11">
        <v>0</v>
      </c>
      <c r="I70" s="11">
        <v>0</v>
      </c>
      <c r="J70" s="11">
        <f t="shared" ref="J70:J130" si="24">+C70+D70-E70-F70+G70-H70+I70</f>
        <v>1002334991</v>
      </c>
      <c r="K70" s="11">
        <v>1002334991</v>
      </c>
      <c r="L70" s="10">
        <f t="shared" ref="L70:L133" si="25">+J70-K70</f>
        <v>0</v>
      </c>
      <c r="M70" s="11">
        <f>842144683+160190308</f>
        <v>1002334991</v>
      </c>
      <c r="N70" s="11">
        <v>195190308</v>
      </c>
      <c r="O70" s="11">
        <v>1002334991</v>
      </c>
      <c r="P70" s="11">
        <f>+J70-O70</f>
        <v>0</v>
      </c>
      <c r="Q70" s="11">
        <f t="shared" ref="Q70:Q130" si="26">+M70</f>
        <v>1002334991</v>
      </c>
      <c r="R70" s="11">
        <f>+K70-M70</f>
        <v>0</v>
      </c>
      <c r="S70" s="111"/>
      <c r="T70" s="113"/>
      <c r="U70" s="113"/>
      <c r="V70" s="113"/>
      <c r="W70" s="113"/>
      <c r="X70" s="113"/>
      <c r="Y70" s="113"/>
      <c r="Z70" s="113"/>
      <c r="AA70" s="113"/>
    </row>
    <row r="71" spans="1:27" s="70" customFormat="1" x14ac:dyDescent="0.25">
      <c r="A71" s="99" t="s">
        <v>139</v>
      </c>
      <c r="B71" s="1" t="s">
        <v>140</v>
      </c>
      <c r="C71" s="11">
        <v>256783541</v>
      </c>
      <c r="D71" s="11">
        <v>0</v>
      </c>
      <c r="E71" s="11">
        <v>0</v>
      </c>
      <c r="F71" s="11">
        <v>0</v>
      </c>
      <c r="G71" s="11"/>
      <c r="H71" s="11">
        <v>0</v>
      </c>
      <c r="I71" s="11">
        <v>0</v>
      </c>
      <c r="J71" s="11">
        <f t="shared" si="24"/>
        <v>256783541</v>
      </c>
      <c r="K71" s="11">
        <v>256683541</v>
      </c>
      <c r="L71" s="10">
        <f t="shared" si="25"/>
        <v>100000</v>
      </c>
      <c r="M71" s="11">
        <f>234488962+22194579</f>
        <v>256683541</v>
      </c>
      <c r="N71" s="11">
        <v>22194579</v>
      </c>
      <c r="O71" s="11">
        <v>256783541</v>
      </c>
      <c r="P71" s="11">
        <f>+J71-O71</f>
        <v>0</v>
      </c>
      <c r="Q71" s="11">
        <f t="shared" si="26"/>
        <v>256683541</v>
      </c>
      <c r="R71" s="11">
        <f>+K71-M71</f>
        <v>0</v>
      </c>
      <c r="S71" s="111"/>
      <c r="T71" s="113"/>
      <c r="U71" s="113"/>
      <c r="V71" s="113"/>
      <c r="W71" s="113"/>
      <c r="X71" s="113"/>
      <c r="Y71" s="113"/>
      <c r="Z71" s="113"/>
      <c r="AA71" s="113"/>
    </row>
    <row r="72" spans="1:27" s="70" customFormat="1" x14ac:dyDescent="0.25">
      <c r="A72" s="99" t="s">
        <v>141</v>
      </c>
      <c r="B72" s="1" t="s">
        <v>142</v>
      </c>
      <c r="C72" s="11">
        <v>244999473</v>
      </c>
      <c r="D72" s="11">
        <v>0</v>
      </c>
      <c r="E72" s="11">
        <v>0</v>
      </c>
      <c r="F72" s="11">
        <v>0</v>
      </c>
      <c r="G72" s="11"/>
      <c r="H72" s="11">
        <v>0</v>
      </c>
      <c r="I72" s="11">
        <v>0</v>
      </c>
      <c r="J72" s="11">
        <f t="shared" si="24"/>
        <v>244999473</v>
      </c>
      <c r="K72" s="11">
        <v>244999473</v>
      </c>
      <c r="L72" s="10">
        <f t="shared" si="25"/>
        <v>0</v>
      </c>
      <c r="M72" s="11">
        <f>209946857+35052616</f>
        <v>244999473</v>
      </c>
      <c r="N72" s="11">
        <v>35052616</v>
      </c>
      <c r="O72" s="11">
        <v>244999473</v>
      </c>
      <c r="P72" s="11">
        <f>+J72-O72</f>
        <v>0</v>
      </c>
      <c r="Q72" s="11">
        <f t="shared" si="26"/>
        <v>244999473</v>
      </c>
      <c r="R72" s="11">
        <f>+K72-M72</f>
        <v>0</v>
      </c>
      <c r="S72" s="111"/>
      <c r="T72" s="113"/>
      <c r="U72" s="113"/>
      <c r="V72" s="113"/>
      <c r="W72" s="113"/>
      <c r="X72" s="113"/>
      <c r="Y72" s="113"/>
      <c r="Z72" s="113"/>
      <c r="AA72" s="113"/>
    </row>
    <row r="73" spans="1:27" s="70" customFormat="1" x14ac:dyDescent="0.25">
      <c r="A73" s="99" t="s">
        <v>143</v>
      </c>
      <c r="B73" s="1" t="s">
        <v>144</v>
      </c>
      <c r="C73" s="11">
        <v>143920610</v>
      </c>
      <c r="D73" s="11">
        <v>0</v>
      </c>
      <c r="E73" s="11">
        <v>0</v>
      </c>
      <c r="F73" s="11">
        <v>0</v>
      </c>
      <c r="G73" s="11"/>
      <c r="H73" s="11">
        <v>0</v>
      </c>
      <c r="I73" s="11">
        <v>0</v>
      </c>
      <c r="J73" s="11">
        <f t="shared" si="24"/>
        <v>143920610</v>
      </c>
      <c r="K73" s="11">
        <v>143809533</v>
      </c>
      <c r="L73" s="10">
        <f t="shared" si="25"/>
        <v>111077</v>
      </c>
      <c r="M73" s="11">
        <v>143809533</v>
      </c>
      <c r="N73" s="11">
        <v>0</v>
      </c>
      <c r="O73" s="11">
        <v>143920610</v>
      </c>
      <c r="P73" s="11">
        <f>+J73-O73</f>
        <v>0</v>
      </c>
      <c r="Q73" s="11">
        <f t="shared" si="26"/>
        <v>143809533</v>
      </c>
      <c r="R73" s="11">
        <f>+K73-M73</f>
        <v>0</v>
      </c>
      <c r="S73" s="111"/>
      <c r="T73" s="113"/>
      <c r="U73" s="113"/>
      <c r="V73" s="113"/>
      <c r="W73" s="113"/>
      <c r="X73" s="113"/>
      <c r="Y73" s="113"/>
      <c r="Z73" s="113"/>
      <c r="AA73" s="113"/>
    </row>
    <row r="74" spans="1:27" s="183" customFormat="1" x14ac:dyDescent="0.25">
      <c r="A74" s="4" t="s">
        <v>145</v>
      </c>
      <c r="B74" s="5" t="s">
        <v>146</v>
      </c>
      <c r="C74" s="10">
        <f>+C75+C76+C79+C80+C81+C82+C83+C86+C87+C90+C91+C84</f>
        <v>6430078399</v>
      </c>
      <c r="D74" s="10">
        <f t="shared" ref="D74:R74" si="27">+D75+D76+D79+D80+D81+D82+D83+D86+D87+D90+D91+D84</f>
        <v>882012176.54999995</v>
      </c>
      <c r="E74" s="10">
        <f t="shared" si="27"/>
        <v>653545835</v>
      </c>
      <c r="F74" s="10">
        <f t="shared" si="27"/>
        <v>2459798958</v>
      </c>
      <c r="G74" s="10">
        <f t="shared" si="27"/>
        <v>0</v>
      </c>
      <c r="H74" s="10">
        <f t="shared" si="27"/>
        <v>0</v>
      </c>
      <c r="I74" s="10">
        <f t="shared" si="27"/>
        <v>1004846359</v>
      </c>
      <c r="J74" s="10">
        <f>+J75+J76+J79+J80+J81+J82+J83+J86+J87+J90+J91+J84</f>
        <v>5203592141.5500002</v>
      </c>
      <c r="K74" s="10">
        <f>+K75+K76+K79+K80+K81+K82+K83+K86+K87+K90+K91+K84</f>
        <v>4836791536.5900002</v>
      </c>
      <c r="L74" s="10">
        <f t="shared" si="25"/>
        <v>366800604.96000004</v>
      </c>
      <c r="M74" s="10">
        <f t="shared" si="27"/>
        <v>4669456524.2700005</v>
      </c>
      <c r="N74" s="10">
        <f t="shared" si="27"/>
        <v>510086314.44999999</v>
      </c>
      <c r="O74" s="10">
        <f t="shared" si="27"/>
        <v>4982616697.7600002</v>
      </c>
      <c r="P74" s="10">
        <f t="shared" si="27"/>
        <v>220975443.79000002</v>
      </c>
      <c r="Q74" s="10">
        <f t="shared" si="27"/>
        <v>4669456524.2700005</v>
      </c>
      <c r="R74" s="10">
        <f t="shared" si="27"/>
        <v>167335012.31999999</v>
      </c>
      <c r="S74" s="111"/>
      <c r="T74" s="112"/>
      <c r="U74" s="112"/>
      <c r="V74" s="112"/>
      <c r="W74" s="112"/>
      <c r="X74" s="112"/>
      <c r="Y74" s="112"/>
      <c r="Z74" s="112"/>
      <c r="AA74" s="112"/>
    </row>
    <row r="75" spans="1:27" s="70" customFormat="1" x14ac:dyDescent="0.25">
      <c r="A75" s="99" t="s">
        <v>147</v>
      </c>
      <c r="B75" s="1" t="s">
        <v>148</v>
      </c>
      <c r="C75" s="11">
        <v>513100000</v>
      </c>
      <c r="D75" s="11">
        <v>20000000</v>
      </c>
      <c r="E75" s="11">
        <v>0</v>
      </c>
      <c r="F75" s="11">
        <v>300000000</v>
      </c>
      <c r="G75" s="11"/>
      <c r="H75" s="11">
        <v>0</v>
      </c>
      <c r="I75" s="11">
        <v>50000000</v>
      </c>
      <c r="J75" s="11">
        <f t="shared" si="24"/>
        <v>283100000</v>
      </c>
      <c r="K75" s="11">
        <v>196375666.31999999</v>
      </c>
      <c r="L75" s="10">
        <f t="shared" si="25"/>
        <v>86724333.680000007</v>
      </c>
      <c r="M75" s="11">
        <f>189911433-907767</f>
        <v>189003666</v>
      </c>
      <c r="N75" s="11">
        <v>9097309.3199999928</v>
      </c>
      <c r="O75" s="11">
        <v>254824416.31999999</v>
      </c>
      <c r="P75" s="11">
        <f>+J75-O75</f>
        <v>28275583.680000007</v>
      </c>
      <c r="Q75" s="11">
        <f t="shared" si="26"/>
        <v>189003666</v>
      </c>
      <c r="R75" s="11">
        <f>+K75-M75</f>
        <v>7372000.3199999928</v>
      </c>
      <c r="S75" s="111"/>
      <c r="T75" s="113"/>
      <c r="U75" s="113"/>
      <c r="V75" s="113"/>
      <c r="W75" s="113"/>
      <c r="X75" s="113"/>
      <c r="Y75" s="113"/>
      <c r="Z75" s="113"/>
      <c r="AA75" s="113"/>
    </row>
    <row r="76" spans="1:27" s="183" customFormat="1" x14ac:dyDescent="0.25">
      <c r="A76" s="4" t="s">
        <v>149</v>
      </c>
      <c r="B76" s="5" t="s">
        <v>150</v>
      </c>
      <c r="C76" s="10">
        <f>+C77+C78</f>
        <v>224620761</v>
      </c>
      <c r="D76" s="10">
        <f>+D77+D78</f>
        <v>10000000</v>
      </c>
      <c r="E76" s="10">
        <f t="shared" ref="E76:R76" si="28">+E77+E78</f>
        <v>21565379</v>
      </c>
      <c r="F76" s="10">
        <f t="shared" si="28"/>
        <v>22481523</v>
      </c>
      <c r="G76" s="10">
        <f t="shared" si="28"/>
        <v>0</v>
      </c>
      <c r="H76" s="10">
        <f t="shared" si="28"/>
        <v>0</v>
      </c>
      <c r="I76" s="10">
        <f t="shared" si="28"/>
        <v>15000000</v>
      </c>
      <c r="J76" s="10">
        <f t="shared" si="28"/>
        <v>205573859</v>
      </c>
      <c r="K76" s="10">
        <f t="shared" si="28"/>
        <v>180786972</v>
      </c>
      <c r="L76" s="10">
        <f t="shared" si="25"/>
        <v>24786887</v>
      </c>
      <c r="M76" s="10">
        <f t="shared" si="28"/>
        <v>180786972</v>
      </c>
      <c r="N76" s="10">
        <f t="shared" si="28"/>
        <v>26519971</v>
      </c>
      <c r="O76" s="10">
        <f t="shared" si="28"/>
        <v>190899942</v>
      </c>
      <c r="P76" s="10">
        <f t="shared" si="28"/>
        <v>14673917</v>
      </c>
      <c r="Q76" s="10">
        <f t="shared" si="28"/>
        <v>180786972</v>
      </c>
      <c r="R76" s="10">
        <f t="shared" si="28"/>
        <v>0</v>
      </c>
      <c r="S76" s="111"/>
      <c r="T76" s="113"/>
      <c r="U76" s="113"/>
      <c r="V76" s="113"/>
      <c r="W76" s="113"/>
      <c r="X76" s="113"/>
      <c r="Y76" s="113"/>
      <c r="Z76" s="113"/>
      <c r="AA76" s="113"/>
    </row>
    <row r="77" spans="1:27" s="70" customFormat="1" x14ac:dyDescent="0.25">
      <c r="A77" s="99" t="s">
        <v>151</v>
      </c>
      <c r="B77" s="1" t="s">
        <v>152</v>
      </c>
      <c r="C77" s="11">
        <v>22481523</v>
      </c>
      <c r="D77" s="11">
        <v>10000000</v>
      </c>
      <c r="E77" s="11">
        <v>0</v>
      </c>
      <c r="F77" s="11">
        <v>22481523</v>
      </c>
      <c r="G77" s="11"/>
      <c r="H77" s="11">
        <v>0</v>
      </c>
      <c r="I77" s="11">
        <v>15000000</v>
      </c>
      <c r="J77" s="11">
        <f t="shared" si="24"/>
        <v>25000000</v>
      </c>
      <c r="K77" s="11">
        <v>10326083</v>
      </c>
      <c r="L77" s="10">
        <f t="shared" si="25"/>
        <v>14673917</v>
      </c>
      <c r="M77" s="11">
        <v>10326083</v>
      </c>
      <c r="N77" s="11">
        <v>0</v>
      </c>
      <c r="O77" s="11">
        <v>10326083</v>
      </c>
      <c r="P77" s="11">
        <f t="shared" ref="P77:P83" si="29">+J77-O77</f>
        <v>14673917</v>
      </c>
      <c r="Q77" s="11">
        <f t="shared" si="26"/>
        <v>10326083</v>
      </c>
      <c r="R77" s="11">
        <f t="shared" ref="R77:R83" si="30">+K77-M77</f>
        <v>0</v>
      </c>
      <c r="S77" s="111"/>
      <c r="T77" s="113"/>
      <c r="U77" s="113"/>
      <c r="V77" s="113"/>
      <c r="W77" s="113"/>
      <c r="X77" s="113"/>
      <c r="Y77" s="113"/>
      <c r="Z77" s="113"/>
      <c r="AA77" s="113"/>
    </row>
    <row r="78" spans="1:27" s="70" customFormat="1" x14ac:dyDescent="0.25">
      <c r="A78" s="99" t="s">
        <v>153</v>
      </c>
      <c r="B78" s="1" t="s">
        <v>154</v>
      </c>
      <c r="C78" s="11">
        <v>202139238</v>
      </c>
      <c r="D78" s="11">
        <v>0</v>
      </c>
      <c r="E78" s="11">
        <v>21565379</v>
      </c>
      <c r="F78" s="11">
        <v>0</v>
      </c>
      <c r="G78" s="11"/>
      <c r="H78" s="11">
        <v>0</v>
      </c>
      <c r="I78" s="11">
        <v>0</v>
      </c>
      <c r="J78" s="11">
        <f t="shared" si="24"/>
        <v>180573859</v>
      </c>
      <c r="K78" s="11">
        <v>170460889</v>
      </c>
      <c r="L78" s="10">
        <f t="shared" si="25"/>
        <v>10112970</v>
      </c>
      <c r="M78" s="11">
        <f>143940918+26519971</f>
        <v>170460889</v>
      </c>
      <c r="N78" s="11">
        <v>26519971</v>
      </c>
      <c r="O78" s="11">
        <v>180573859</v>
      </c>
      <c r="P78" s="11">
        <f t="shared" si="29"/>
        <v>0</v>
      </c>
      <c r="Q78" s="11">
        <f t="shared" si="26"/>
        <v>170460889</v>
      </c>
      <c r="R78" s="11">
        <f t="shared" si="30"/>
        <v>0</v>
      </c>
      <c r="S78" s="111"/>
      <c r="T78" s="113"/>
      <c r="U78" s="113"/>
      <c r="V78" s="113"/>
      <c r="W78" s="113"/>
      <c r="X78" s="113"/>
      <c r="Y78" s="113"/>
      <c r="Z78" s="113"/>
      <c r="AA78" s="113"/>
    </row>
    <row r="79" spans="1:27" s="70" customFormat="1" x14ac:dyDescent="0.25">
      <c r="A79" s="99" t="s">
        <v>155</v>
      </c>
      <c r="B79" s="1" t="s">
        <v>156</v>
      </c>
      <c r="C79" s="11">
        <v>66530000</v>
      </c>
      <c r="D79" s="11">
        <v>0</v>
      </c>
      <c r="E79" s="11">
        <v>0</v>
      </c>
      <c r="F79" s="11">
        <v>0</v>
      </c>
      <c r="G79" s="11"/>
      <c r="H79" s="11">
        <v>0</v>
      </c>
      <c r="I79" s="11">
        <v>0</v>
      </c>
      <c r="J79" s="11">
        <f t="shared" si="24"/>
        <v>66530000</v>
      </c>
      <c r="K79" s="11">
        <v>41875237.880000003</v>
      </c>
      <c r="L79" s="10">
        <f t="shared" si="25"/>
        <v>24654762.119999997</v>
      </c>
      <c r="M79" s="11">
        <f>28851264.88+7536631</f>
        <v>36387895.879999995</v>
      </c>
      <c r="N79" s="11">
        <v>13273973.000000004</v>
      </c>
      <c r="O79" s="11">
        <v>41875237.880000003</v>
      </c>
      <c r="P79" s="11">
        <f t="shared" si="29"/>
        <v>24654762.119999997</v>
      </c>
      <c r="Q79" s="11">
        <f t="shared" si="26"/>
        <v>36387895.879999995</v>
      </c>
      <c r="R79" s="11">
        <f t="shared" si="30"/>
        <v>5487342.0000000075</v>
      </c>
      <c r="S79" s="111"/>
      <c r="T79" s="113"/>
      <c r="U79" s="113"/>
      <c r="V79" s="113"/>
      <c r="W79" s="113"/>
      <c r="X79" s="113"/>
      <c r="Y79" s="113"/>
      <c r="Z79" s="113"/>
      <c r="AA79" s="113"/>
    </row>
    <row r="80" spans="1:27" s="70" customFormat="1" x14ac:dyDescent="0.25">
      <c r="A80" s="99" t="s">
        <v>157</v>
      </c>
      <c r="B80" s="1" t="s">
        <v>158</v>
      </c>
      <c r="C80" s="11">
        <v>128780000</v>
      </c>
      <c r="D80" s="11">
        <v>0</v>
      </c>
      <c r="E80" s="11">
        <v>38006076</v>
      </c>
      <c r="F80" s="11">
        <v>17017435</v>
      </c>
      <c r="G80" s="11"/>
      <c r="H80" s="11">
        <v>0</v>
      </c>
      <c r="I80" s="11">
        <v>5000000</v>
      </c>
      <c r="J80" s="11">
        <f t="shared" si="24"/>
        <v>78756489</v>
      </c>
      <c r="K80" s="11">
        <v>73719180</v>
      </c>
      <c r="L80" s="10">
        <f t="shared" si="25"/>
        <v>5037309</v>
      </c>
      <c r="M80" s="11">
        <v>73719180</v>
      </c>
      <c r="N80" s="11">
        <v>0</v>
      </c>
      <c r="O80" s="11">
        <v>75895180</v>
      </c>
      <c r="P80" s="11">
        <f t="shared" si="29"/>
        <v>2861309</v>
      </c>
      <c r="Q80" s="11">
        <f t="shared" si="26"/>
        <v>73719180</v>
      </c>
      <c r="R80" s="11">
        <f t="shared" si="30"/>
        <v>0</v>
      </c>
      <c r="S80" s="111"/>
      <c r="T80" s="113"/>
      <c r="U80" s="113"/>
      <c r="V80" s="113"/>
      <c r="W80" s="113"/>
      <c r="X80" s="113"/>
      <c r="Y80" s="113"/>
      <c r="Z80" s="113"/>
      <c r="AA80" s="113"/>
    </row>
    <row r="81" spans="1:27" s="70" customFormat="1" x14ac:dyDescent="0.25">
      <c r="A81" s="99" t="s">
        <v>159</v>
      </c>
      <c r="B81" s="1" t="s">
        <v>160</v>
      </c>
      <c r="C81" s="11">
        <v>1500000000</v>
      </c>
      <c r="D81" s="11">
        <v>100000000</v>
      </c>
      <c r="E81" s="11">
        <v>0</v>
      </c>
      <c r="F81" s="11">
        <v>500000000</v>
      </c>
      <c r="G81" s="11"/>
      <c r="H81" s="11">
        <v>0</v>
      </c>
      <c r="I81" s="11">
        <v>248000000</v>
      </c>
      <c r="J81" s="11">
        <f t="shared" si="24"/>
        <v>1348000000</v>
      </c>
      <c r="K81" s="11">
        <v>1244655174</v>
      </c>
      <c r="L81" s="10">
        <f t="shared" si="25"/>
        <v>103344826</v>
      </c>
      <c r="M81" s="11">
        <f>1148638464+9596555</f>
        <v>1158235019</v>
      </c>
      <c r="N81" s="11">
        <v>147678894</v>
      </c>
      <c r="O81" s="11">
        <v>1245330703</v>
      </c>
      <c r="P81" s="11">
        <f t="shared" si="29"/>
        <v>102669297</v>
      </c>
      <c r="Q81" s="11">
        <f t="shared" si="26"/>
        <v>1158235019</v>
      </c>
      <c r="R81" s="11">
        <f t="shared" si="30"/>
        <v>86420155</v>
      </c>
      <c r="S81" s="111"/>
      <c r="T81" s="113"/>
      <c r="U81" s="113"/>
      <c r="V81" s="113"/>
      <c r="W81" s="113"/>
      <c r="X81" s="113"/>
      <c r="Y81" s="113"/>
      <c r="Z81" s="113"/>
      <c r="AA81" s="113"/>
    </row>
    <row r="82" spans="1:27" s="70" customFormat="1" x14ac:dyDescent="0.25">
      <c r="A82" s="99" t="s">
        <v>161</v>
      </c>
      <c r="B82" s="1" t="s">
        <v>162</v>
      </c>
      <c r="C82" s="11">
        <v>600000000</v>
      </c>
      <c r="D82" s="11">
        <v>0</v>
      </c>
      <c r="E82" s="11">
        <v>0</v>
      </c>
      <c r="F82" s="11">
        <v>600000000</v>
      </c>
      <c r="G82" s="11"/>
      <c r="H82" s="11">
        <v>0</v>
      </c>
      <c r="I82" s="11">
        <v>370000000</v>
      </c>
      <c r="J82" s="11">
        <f t="shared" si="24"/>
        <v>370000000</v>
      </c>
      <c r="K82" s="11">
        <v>331943386</v>
      </c>
      <c r="L82" s="10">
        <f t="shared" si="25"/>
        <v>38056614</v>
      </c>
      <c r="M82" s="11">
        <v>331943386</v>
      </c>
      <c r="N82" s="11">
        <v>29827</v>
      </c>
      <c r="O82" s="11">
        <v>369752595</v>
      </c>
      <c r="P82" s="11">
        <f t="shared" si="29"/>
        <v>247405</v>
      </c>
      <c r="Q82" s="11">
        <f t="shared" si="26"/>
        <v>331943386</v>
      </c>
      <c r="R82" s="11">
        <f t="shared" si="30"/>
        <v>0</v>
      </c>
      <c r="S82" s="111"/>
      <c r="T82" s="113"/>
      <c r="U82" s="113"/>
      <c r="V82" s="113"/>
      <c r="W82" s="113"/>
      <c r="X82" s="113"/>
      <c r="Y82" s="113"/>
      <c r="Z82" s="113"/>
      <c r="AA82" s="113"/>
    </row>
    <row r="83" spans="1:27" s="70" customFormat="1" x14ac:dyDescent="0.25">
      <c r="A83" s="99" t="s">
        <v>163</v>
      </c>
      <c r="B83" s="1" t="s">
        <v>164</v>
      </c>
      <c r="C83" s="11">
        <v>482650000</v>
      </c>
      <c r="D83" s="11">
        <v>0</v>
      </c>
      <c r="E83" s="11">
        <v>205881000</v>
      </c>
      <c r="F83" s="11">
        <v>0</v>
      </c>
      <c r="G83" s="11"/>
      <c r="H83" s="11">
        <v>0</v>
      </c>
      <c r="I83" s="11">
        <v>0</v>
      </c>
      <c r="J83" s="11">
        <f t="shared" si="24"/>
        <v>276769000</v>
      </c>
      <c r="K83" s="11">
        <v>265310857</v>
      </c>
      <c r="L83" s="10">
        <f t="shared" si="25"/>
        <v>11458143</v>
      </c>
      <c r="M83" s="11">
        <v>253580857</v>
      </c>
      <c r="N83" s="11">
        <v>11730000</v>
      </c>
      <c r="O83" s="11">
        <v>265310857</v>
      </c>
      <c r="P83" s="11">
        <f t="shared" si="29"/>
        <v>11458143</v>
      </c>
      <c r="Q83" s="11">
        <f t="shared" si="26"/>
        <v>253580857</v>
      </c>
      <c r="R83" s="11">
        <f t="shared" si="30"/>
        <v>11730000</v>
      </c>
      <c r="S83" s="111"/>
      <c r="T83" s="113"/>
      <c r="U83" s="113"/>
      <c r="V83" s="113"/>
      <c r="W83" s="113"/>
      <c r="X83" s="113"/>
      <c r="Y83" s="113"/>
      <c r="Z83" s="113"/>
      <c r="AA83" s="113"/>
    </row>
    <row r="84" spans="1:27" s="183" customFormat="1" x14ac:dyDescent="0.25">
      <c r="A84" s="4" t="s">
        <v>165</v>
      </c>
      <c r="B84" s="5" t="s">
        <v>166</v>
      </c>
      <c r="C84" s="10">
        <f>+C85</f>
        <v>203600000</v>
      </c>
      <c r="D84" s="10">
        <f>+D85</f>
        <v>40000000</v>
      </c>
      <c r="E84" s="10">
        <f t="shared" ref="E84:R84" si="31">+E85</f>
        <v>0</v>
      </c>
      <c r="F84" s="10">
        <f t="shared" si="31"/>
        <v>100000000</v>
      </c>
      <c r="G84" s="10">
        <f t="shared" si="31"/>
        <v>0</v>
      </c>
      <c r="H84" s="10">
        <f t="shared" si="31"/>
        <v>0</v>
      </c>
      <c r="I84" s="10">
        <f t="shared" si="31"/>
        <v>0</v>
      </c>
      <c r="J84" s="10">
        <f t="shared" si="31"/>
        <v>143600000</v>
      </c>
      <c r="K84" s="10">
        <f t="shared" si="31"/>
        <v>125706793</v>
      </c>
      <c r="L84" s="10">
        <f t="shared" si="25"/>
        <v>17893207</v>
      </c>
      <c r="M84" s="10">
        <f t="shared" si="31"/>
        <v>125706793</v>
      </c>
      <c r="N84" s="10">
        <f t="shared" si="31"/>
        <v>740858</v>
      </c>
      <c r="O84" s="10">
        <f t="shared" si="31"/>
        <v>138175292</v>
      </c>
      <c r="P84" s="10">
        <f t="shared" si="31"/>
        <v>5424708</v>
      </c>
      <c r="Q84" s="10">
        <f t="shared" si="31"/>
        <v>125706793</v>
      </c>
      <c r="R84" s="10">
        <f t="shared" si="31"/>
        <v>0</v>
      </c>
      <c r="S84" s="111"/>
      <c r="T84" s="113"/>
      <c r="U84" s="113"/>
      <c r="V84" s="113"/>
      <c r="W84" s="113"/>
      <c r="X84" s="113"/>
      <c r="Y84" s="113"/>
      <c r="Z84" s="113"/>
      <c r="AA84" s="113"/>
    </row>
    <row r="85" spans="1:27" s="70" customFormat="1" x14ac:dyDescent="0.25">
      <c r="A85" s="99" t="s">
        <v>167</v>
      </c>
      <c r="B85" s="1" t="s">
        <v>168</v>
      </c>
      <c r="C85" s="11">
        <v>203600000</v>
      </c>
      <c r="D85" s="11">
        <v>40000000</v>
      </c>
      <c r="E85" s="11">
        <v>0</v>
      </c>
      <c r="F85" s="11">
        <v>100000000</v>
      </c>
      <c r="G85" s="11"/>
      <c r="H85" s="11">
        <v>0</v>
      </c>
      <c r="I85" s="11">
        <v>0</v>
      </c>
      <c r="J85" s="11">
        <f t="shared" si="24"/>
        <v>143600000</v>
      </c>
      <c r="K85" s="11">
        <v>125706793</v>
      </c>
      <c r="L85" s="10">
        <f t="shared" si="25"/>
        <v>17893207</v>
      </c>
      <c r="M85" s="11">
        <v>125706793</v>
      </c>
      <c r="N85" s="11">
        <v>740858</v>
      </c>
      <c r="O85" s="11">
        <v>138175292</v>
      </c>
      <c r="P85" s="11">
        <f>+J85-O85</f>
        <v>5424708</v>
      </c>
      <c r="Q85" s="11">
        <f t="shared" si="26"/>
        <v>125706793</v>
      </c>
      <c r="R85" s="11">
        <f>+K85-M85</f>
        <v>0</v>
      </c>
      <c r="S85" s="111"/>
      <c r="T85" s="113"/>
      <c r="U85" s="113"/>
      <c r="V85" s="113"/>
      <c r="W85" s="113"/>
      <c r="X85" s="113"/>
      <c r="Y85" s="113"/>
      <c r="Z85" s="113"/>
      <c r="AA85" s="113"/>
    </row>
    <row r="86" spans="1:27" s="70" customFormat="1" x14ac:dyDescent="0.25">
      <c r="A86" s="99" t="s">
        <v>169</v>
      </c>
      <c r="B86" s="1" t="s">
        <v>170</v>
      </c>
      <c r="C86" s="11">
        <v>1000</v>
      </c>
      <c r="D86" s="11">
        <v>594160615.54999995</v>
      </c>
      <c r="E86" s="11">
        <v>0</v>
      </c>
      <c r="F86" s="11">
        <v>0</v>
      </c>
      <c r="G86" s="11"/>
      <c r="H86" s="11">
        <v>0</v>
      </c>
      <c r="I86" s="11">
        <v>0</v>
      </c>
      <c r="J86" s="11">
        <f t="shared" si="24"/>
        <v>594161615.54999995</v>
      </c>
      <c r="K86" s="11">
        <v>594160975.54999995</v>
      </c>
      <c r="L86" s="10">
        <f t="shared" si="25"/>
        <v>640</v>
      </c>
      <c r="M86" s="11">
        <v>570109326.54999995</v>
      </c>
      <c r="N86" s="11">
        <v>24051649</v>
      </c>
      <c r="O86" s="11">
        <v>594160975.54999995</v>
      </c>
      <c r="P86" s="11">
        <f>+J86-O86</f>
        <v>640</v>
      </c>
      <c r="Q86" s="11">
        <f t="shared" si="26"/>
        <v>570109326.54999995</v>
      </c>
      <c r="R86" s="11">
        <f>+K86-M86</f>
        <v>24051649</v>
      </c>
      <c r="S86" s="111"/>
      <c r="T86" s="113"/>
      <c r="U86" s="113"/>
      <c r="V86" s="113"/>
      <c r="W86" s="113"/>
      <c r="X86" s="113"/>
      <c r="Y86" s="113"/>
      <c r="Z86" s="113"/>
      <c r="AA86" s="113"/>
    </row>
    <row r="87" spans="1:27" s="183" customFormat="1" x14ac:dyDescent="0.25">
      <c r="A87" s="4" t="s">
        <v>171</v>
      </c>
      <c r="B87" s="5" t="s">
        <v>172</v>
      </c>
      <c r="C87" s="10">
        <f>+C88+C89</f>
        <v>62450000</v>
      </c>
      <c r="D87" s="10">
        <f>+D88+D89</f>
        <v>0</v>
      </c>
      <c r="E87" s="10">
        <f t="shared" ref="E87:R87" si="32">+E88+E89</f>
        <v>0</v>
      </c>
      <c r="F87" s="10">
        <f t="shared" si="32"/>
        <v>50450000</v>
      </c>
      <c r="G87" s="10">
        <f t="shared" si="32"/>
        <v>0</v>
      </c>
      <c r="H87" s="10">
        <f t="shared" si="32"/>
        <v>0</v>
      </c>
      <c r="I87" s="10">
        <f t="shared" si="32"/>
        <v>0</v>
      </c>
      <c r="J87" s="10">
        <f t="shared" si="32"/>
        <v>12000000</v>
      </c>
      <c r="K87" s="10">
        <f t="shared" si="32"/>
        <v>4529000</v>
      </c>
      <c r="L87" s="10">
        <f t="shared" si="25"/>
        <v>7471000</v>
      </c>
      <c r="M87" s="10">
        <f t="shared" si="32"/>
        <v>4529000</v>
      </c>
      <c r="N87" s="10">
        <f t="shared" si="32"/>
        <v>0</v>
      </c>
      <c r="O87" s="10">
        <f t="shared" si="32"/>
        <v>9544705</v>
      </c>
      <c r="P87" s="10">
        <f t="shared" si="32"/>
        <v>2455295</v>
      </c>
      <c r="Q87" s="10">
        <f t="shared" si="32"/>
        <v>4529000</v>
      </c>
      <c r="R87" s="10">
        <f t="shared" si="32"/>
        <v>0</v>
      </c>
      <c r="S87" s="111"/>
      <c r="T87" s="113"/>
      <c r="U87" s="113"/>
      <c r="V87" s="113"/>
      <c r="W87" s="113"/>
      <c r="X87" s="113"/>
      <c r="Y87" s="113"/>
      <c r="Z87" s="113"/>
      <c r="AA87" s="113"/>
    </row>
    <row r="88" spans="1:27" s="70" customFormat="1" x14ac:dyDescent="0.25">
      <c r="A88" s="99" t="s">
        <v>173</v>
      </c>
      <c r="B88" s="1" t="s">
        <v>174</v>
      </c>
      <c r="C88" s="11">
        <v>12000000</v>
      </c>
      <c r="D88" s="11">
        <v>0</v>
      </c>
      <c r="E88" s="11">
        <v>0</v>
      </c>
      <c r="F88" s="11">
        <v>0</v>
      </c>
      <c r="G88" s="11"/>
      <c r="H88" s="11">
        <v>0</v>
      </c>
      <c r="I88" s="11">
        <v>0</v>
      </c>
      <c r="J88" s="11">
        <f t="shared" si="24"/>
        <v>12000000</v>
      </c>
      <c r="K88" s="11">
        <v>4529000</v>
      </c>
      <c r="L88" s="10">
        <f t="shared" si="25"/>
        <v>7471000</v>
      </c>
      <c r="M88" s="11">
        <v>4529000</v>
      </c>
      <c r="N88" s="11">
        <v>0</v>
      </c>
      <c r="O88" s="11">
        <v>9544705</v>
      </c>
      <c r="P88" s="11">
        <f>+J88-O88</f>
        <v>2455295</v>
      </c>
      <c r="Q88" s="11">
        <f t="shared" si="26"/>
        <v>4529000</v>
      </c>
      <c r="R88" s="11">
        <f>+K88-M88</f>
        <v>0</v>
      </c>
      <c r="S88" s="111"/>
      <c r="T88" s="113"/>
      <c r="U88" s="113"/>
      <c r="V88" s="113"/>
      <c r="W88" s="113"/>
      <c r="X88" s="113"/>
      <c r="Y88" s="113"/>
      <c r="Z88" s="113"/>
      <c r="AA88" s="113"/>
    </row>
    <row r="89" spans="1:27" s="70" customFormat="1" x14ac:dyDescent="0.25">
      <c r="A89" s="99" t="s">
        <v>175</v>
      </c>
      <c r="B89" s="1" t="s">
        <v>176</v>
      </c>
      <c r="C89" s="11">
        <v>50450000</v>
      </c>
      <c r="D89" s="11">
        <v>0</v>
      </c>
      <c r="E89" s="11">
        <v>0</v>
      </c>
      <c r="F89" s="11">
        <v>50450000</v>
      </c>
      <c r="G89" s="11"/>
      <c r="H89" s="11">
        <v>0</v>
      </c>
      <c r="I89" s="11">
        <v>0</v>
      </c>
      <c r="J89" s="11">
        <f t="shared" si="24"/>
        <v>0</v>
      </c>
      <c r="K89" s="11">
        <v>0</v>
      </c>
      <c r="L89" s="10">
        <f t="shared" si="25"/>
        <v>0</v>
      </c>
      <c r="M89" s="11">
        <v>0</v>
      </c>
      <c r="N89" s="11">
        <v>0</v>
      </c>
      <c r="O89" s="11">
        <v>0</v>
      </c>
      <c r="P89" s="11">
        <f>+J89-O89</f>
        <v>0</v>
      </c>
      <c r="Q89" s="11">
        <f t="shared" si="26"/>
        <v>0</v>
      </c>
      <c r="R89" s="11">
        <f>+K89-M89</f>
        <v>0</v>
      </c>
      <c r="S89" s="111"/>
      <c r="T89" s="113"/>
      <c r="U89" s="113"/>
      <c r="V89" s="113"/>
      <c r="W89" s="113"/>
      <c r="X89" s="113"/>
      <c r="Y89" s="113"/>
      <c r="Z89" s="113"/>
      <c r="AA89" s="113"/>
    </row>
    <row r="90" spans="1:27" s="70" customFormat="1" x14ac:dyDescent="0.25">
      <c r="A90" s="99" t="s">
        <v>177</v>
      </c>
      <c r="B90" s="1" t="s">
        <v>178</v>
      </c>
      <c r="C90" s="11">
        <v>200000000</v>
      </c>
      <c r="D90" s="11">
        <v>0</v>
      </c>
      <c r="E90" s="11">
        <v>0</v>
      </c>
      <c r="F90" s="11">
        <v>0</v>
      </c>
      <c r="G90" s="11"/>
      <c r="H90" s="11">
        <v>0</v>
      </c>
      <c r="I90" s="11">
        <v>30000000</v>
      </c>
      <c r="J90" s="11">
        <f t="shared" si="24"/>
        <v>230000000</v>
      </c>
      <c r="K90" s="11">
        <v>223700627.84</v>
      </c>
      <c r="L90" s="10">
        <f t="shared" si="25"/>
        <v>6299372.1599999964</v>
      </c>
      <c r="M90" s="11">
        <v>223700627.84</v>
      </c>
      <c r="N90" s="11">
        <v>3113535.1299999952</v>
      </c>
      <c r="O90" s="11">
        <v>223700598.00999999</v>
      </c>
      <c r="P90" s="11">
        <f>+J90-O90</f>
        <v>6299401.9900000095</v>
      </c>
      <c r="Q90" s="11">
        <f t="shared" si="26"/>
        <v>223700627.84</v>
      </c>
      <c r="R90" s="11">
        <f>+K90-M90</f>
        <v>0</v>
      </c>
      <c r="S90" s="111"/>
      <c r="T90" s="113"/>
      <c r="U90" s="113"/>
      <c r="V90" s="113"/>
      <c r="W90" s="113"/>
      <c r="X90" s="113"/>
      <c r="Y90" s="113"/>
      <c r="Z90" s="113"/>
      <c r="AA90" s="113"/>
    </row>
    <row r="91" spans="1:27" s="183" customFormat="1" x14ac:dyDescent="0.25">
      <c r="A91" s="4" t="s">
        <v>179</v>
      </c>
      <c r="B91" s="5" t="s">
        <v>180</v>
      </c>
      <c r="C91" s="10">
        <f>SUM(C92:C96)</f>
        <v>2448346638</v>
      </c>
      <c r="D91" s="10">
        <f>SUM(D92:D96)</f>
        <v>117851561</v>
      </c>
      <c r="E91" s="10">
        <f t="shared" ref="E91:R91" si="33">SUM(E92:E96)</f>
        <v>388093380</v>
      </c>
      <c r="F91" s="10">
        <f t="shared" si="33"/>
        <v>869850000</v>
      </c>
      <c r="G91" s="10">
        <f t="shared" si="33"/>
        <v>0</v>
      </c>
      <c r="H91" s="10">
        <f t="shared" si="33"/>
        <v>0</v>
      </c>
      <c r="I91" s="10">
        <f t="shared" si="33"/>
        <v>286846359</v>
      </c>
      <c r="J91" s="10">
        <f t="shared" si="33"/>
        <v>1595101178</v>
      </c>
      <c r="K91" s="10">
        <f t="shared" si="33"/>
        <v>1554027667</v>
      </c>
      <c r="L91" s="10">
        <f t="shared" si="25"/>
        <v>41073511</v>
      </c>
      <c r="M91" s="10">
        <f t="shared" si="33"/>
        <v>1521753801</v>
      </c>
      <c r="N91" s="10">
        <f t="shared" si="33"/>
        <v>273850298</v>
      </c>
      <c r="O91" s="10">
        <f t="shared" si="33"/>
        <v>1573146196</v>
      </c>
      <c r="P91" s="10">
        <f t="shared" si="33"/>
        <v>21954982</v>
      </c>
      <c r="Q91" s="10">
        <f t="shared" si="33"/>
        <v>1521753801</v>
      </c>
      <c r="R91" s="10">
        <f t="shared" si="33"/>
        <v>32273866</v>
      </c>
      <c r="S91" s="111"/>
      <c r="T91" s="113"/>
      <c r="U91" s="113"/>
      <c r="V91" s="113"/>
      <c r="W91" s="113"/>
      <c r="X91" s="113"/>
      <c r="Y91" s="113"/>
      <c r="Z91" s="113"/>
      <c r="AA91" s="113"/>
    </row>
    <row r="92" spans="1:27" s="70" customFormat="1" x14ac:dyDescent="0.25">
      <c r="A92" s="99" t="s">
        <v>181</v>
      </c>
      <c r="B92" s="1" t="s">
        <v>182</v>
      </c>
      <c r="C92" s="11">
        <v>1254000000</v>
      </c>
      <c r="D92" s="11">
        <v>0</v>
      </c>
      <c r="E92" s="11">
        <v>4000000</v>
      </c>
      <c r="F92" s="11">
        <v>500000000</v>
      </c>
      <c r="G92" s="11"/>
      <c r="H92" s="11">
        <v>0</v>
      </c>
      <c r="I92" s="11">
        <v>250000000</v>
      </c>
      <c r="J92" s="11">
        <f t="shared" si="24"/>
        <v>1000000000</v>
      </c>
      <c r="K92" s="11">
        <v>987040000</v>
      </c>
      <c r="L92" s="10">
        <f t="shared" si="25"/>
        <v>12960000</v>
      </c>
      <c r="M92" s="11">
        <f>767823823+207576432</f>
        <v>975400255</v>
      </c>
      <c r="N92" s="11">
        <v>223716177</v>
      </c>
      <c r="O92" s="11">
        <v>1000000000</v>
      </c>
      <c r="P92" s="11">
        <f>+J92-O92</f>
        <v>0</v>
      </c>
      <c r="Q92" s="11">
        <f t="shared" si="26"/>
        <v>975400255</v>
      </c>
      <c r="R92" s="11">
        <f>+K92-M92</f>
        <v>11639745</v>
      </c>
      <c r="S92" s="111"/>
      <c r="T92" s="113"/>
      <c r="U92" s="113"/>
      <c r="V92" s="113"/>
      <c r="W92" s="113"/>
      <c r="X92" s="113"/>
      <c r="Y92" s="113"/>
      <c r="Z92" s="113"/>
      <c r="AA92" s="113"/>
    </row>
    <row r="93" spans="1:27" s="70" customFormat="1" x14ac:dyDescent="0.25">
      <c r="A93" s="99" t="s">
        <v>183</v>
      </c>
      <c r="B93" s="1" t="s">
        <v>184</v>
      </c>
      <c r="C93" s="11">
        <v>362496638</v>
      </c>
      <c r="D93" s="11">
        <v>0</v>
      </c>
      <c r="E93" s="11">
        <v>7996638</v>
      </c>
      <c r="F93" s="11">
        <v>0</v>
      </c>
      <c r="G93" s="11"/>
      <c r="H93" s="11">
        <v>0</v>
      </c>
      <c r="I93" s="11">
        <v>0</v>
      </c>
      <c r="J93" s="11">
        <f t="shared" si="24"/>
        <v>354500000</v>
      </c>
      <c r="K93" s="11">
        <v>351001420</v>
      </c>
      <c r="L93" s="10">
        <f t="shared" si="25"/>
        <v>3498580</v>
      </c>
      <c r="M93" s="11">
        <v>351001420</v>
      </c>
      <c r="N93" s="11">
        <v>29500000</v>
      </c>
      <c r="O93" s="11">
        <v>354500000</v>
      </c>
      <c r="P93" s="11">
        <f>+J93-O93</f>
        <v>0</v>
      </c>
      <c r="Q93" s="11">
        <f t="shared" si="26"/>
        <v>351001420</v>
      </c>
      <c r="R93" s="11">
        <f>+K93-M93</f>
        <v>0</v>
      </c>
      <c r="S93" s="111"/>
      <c r="T93" s="113"/>
      <c r="U93" s="113"/>
      <c r="V93" s="113"/>
      <c r="W93" s="113"/>
      <c r="X93" s="113"/>
      <c r="Y93" s="113"/>
      <c r="Z93" s="113"/>
      <c r="AA93" s="113"/>
    </row>
    <row r="94" spans="1:27" s="70" customFormat="1" x14ac:dyDescent="0.25">
      <c r="A94" s="99" t="s">
        <v>185</v>
      </c>
      <c r="B94" s="1" t="s">
        <v>186</v>
      </c>
      <c r="C94" s="11">
        <v>377000000</v>
      </c>
      <c r="D94" s="11">
        <v>0</v>
      </c>
      <c r="E94" s="11">
        <v>369724614</v>
      </c>
      <c r="F94" s="11">
        <v>0</v>
      </c>
      <c r="G94" s="11"/>
      <c r="H94" s="11">
        <v>0</v>
      </c>
      <c r="I94" s="11">
        <v>0</v>
      </c>
      <c r="J94" s="11">
        <f t="shared" si="24"/>
        <v>7275386</v>
      </c>
      <c r="K94" s="11">
        <v>7275386</v>
      </c>
      <c r="L94" s="10">
        <f t="shared" si="25"/>
        <v>0</v>
      </c>
      <c r="M94" s="11">
        <v>7275386</v>
      </c>
      <c r="N94" s="11">
        <v>0</v>
      </c>
      <c r="O94" s="11">
        <v>7275386</v>
      </c>
      <c r="P94" s="11">
        <f>+J94-O94</f>
        <v>0</v>
      </c>
      <c r="Q94" s="11">
        <f t="shared" si="26"/>
        <v>7275386</v>
      </c>
      <c r="R94" s="11">
        <f>+K94-M94</f>
        <v>0</v>
      </c>
      <c r="S94" s="111"/>
      <c r="T94" s="113"/>
      <c r="U94" s="113"/>
      <c r="V94" s="113"/>
      <c r="W94" s="113"/>
      <c r="X94" s="113"/>
      <c r="Y94" s="113"/>
      <c r="Z94" s="113"/>
      <c r="AA94" s="113"/>
    </row>
    <row r="95" spans="1:27" s="70" customFormat="1" x14ac:dyDescent="0.25">
      <c r="A95" s="99" t="s">
        <v>187</v>
      </c>
      <c r="B95" s="1" t="s">
        <v>188</v>
      </c>
      <c r="C95" s="11">
        <v>369850000</v>
      </c>
      <c r="D95" s="11">
        <v>93851561</v>
      </c>
      <c r="E95" s="11">
        <v>6372128</v>
      </c>
      <c r="F95" s="11">
        <v>369850000</v>
      </c>
      <c r="G95" s="11"/>
      <c r="H95" s="11">
        <v>0</v>
      </c>
      <c r="I95" s="11">
        <v>36846359</v>
      </c>
      <c r="J95" s="11">
        <f t="shared" si="24"/>
        <v>124325792</v>
      </c>
      <c r="K95" s="11">
        <v>124325792</v>
      </c>
      <c r="L95" s="10">
        <f t="shared" si="25"/>
        <v>0</v>
      </c>
      <c r="M95" s="11">
        <v>124325792</v>
      </c>
      <c r="N95" s="11">
        <v>0</v>
      </c>
      <c r="O95" s="11">
        <v>124325792</v>
      </c>
      <c r="P95" s="11">
        <f>+J95-O95</f>
        <v>0</v>
      </c>
      <c r="Q95" s="11">
        <f t="shared" si="26"/>
        <v>124325792</v>
      </c>
      <c r="R95" s="11">
        <f>+K95-M95</f>
        <v>0</v>
      </c>
      <c r="S95" s="111"/>
      <c r="T95" s="113"/>
      <c r="U95" s="113"/>
      <c r="V95" s="113"/>
      <c r="W95" s="113"/>
      <c r="X95" s="113"/>
      <c r="Y95" s="113"/>
      <c r="Z95" s="113"/>
      <c r="AA95" s="113"/>
    </row>
    <row r="96" spans="1:27" s="70" customFormat="1" x14ac:dyDescent="0.25">
      <c r="A96" s="99" t="s">
        <v>189</v>
      </c>
      <c r="B96" s="1" t="s">
        <v>190</v>
      </c>
      <c r="C96" s="11">
        <v>85000000</v>
      </c>
      <c r="D96" s="11">
        <v>24000000</v>
      </c>
      <c r="E96" s="11">
        <v>0</v>
      </c>
      <c r="F96" s="11">
        <v>0</v>
      </c>
      <c r="G96" s="11"/>
      <c r="H96" s="11">
        <v>0</v>
      </c>
      <c r="I96" s="11">
        <v>0</v>
      </c>
      <c r="J96" s="11">
        <f t="shared" si="24"/>
        <v>109000000</v>
      </c>
      <c r="K96" s="11">
        <v>84385069</v>
      </c>
      <c r="L96" s="10">
        <f t="shared" si="25"/>
        <v>24614931</v>
      </c>
      <c r="M96" s="11">
        <f>65716659-1965711</f>
        <v>63750948</v>
      </c>
      <c r="N96" s="11">
        <v>20634121</v>
      </c>
      <c r="O96" s="11">
        <v>87045018</v>
      </c>
      <c r="P96" s="11">
        <f>+J96-O96</f>
        <v>21954982</v>
      </c>
      <c r="Q96" s="11">
        <f t="shared" si="26"/>
        <v>63750948</v>
      </c>
      <c r="R96" s="11">
        <f>+K96-M96</f>
        <v>20634121</v>
      </c>
      <c r="S96" s="111"/>
      <c r="T96" s="113"/>
      <c r="U96" s="113"/>
      <c r="V96" s="113"/>
      <c r="W96" s="113"/>
      <c r="X96" s="113"/>
      <c r="Y96" s="113"/>
      <c r="Z96" s="113"/>
      <c r="AA96" s="113"/>
    </row>
    <row r="97" spans="1:27" s="70" customFormat="1" x14ac:dyDescent="0.25">
      <c r="A97" s="99" t="s">
        <v>191</v>
      </c>
      <c r="B97" s="1" t="s">
        <v>192</v>
      </c>
      <c r="C97" s="11">
        <f>+C98</f>
        <v>295323895</v>
      </c>
      <c r="D97" s="11">
        <f t="shared" ref="D97:R97" si="34">+D98</f>
        <v>0</v>
      </c>
      <c r="E97" s="11">
        <f t="shared" si="34"/>
        <v>75773309</v>
      </c>
      <c r="F97" s="11">
        <f t="shared" si="34"/>
        <v>0</v>
      </c>
      <c r="G97" s="11">
        <f t="shared" si="34"/>
        <v>0</v>
      </c>
      <c r="H97" s="11">
        <f t="shared" si="34"/>
        <v>0</v>
      </c>
      <c r="I97" s="11">
        <f t="shared" si="34"/>
        <v>0</v>
      </c>
      <c r="J97" s="11">
        <f t="shared" si="34"/>
        <v>219550586</v>
      </c>
      <c r="K97" s="11">
        <f t="shared" si="34"/>
        <v>160934556</v>
      </c>
      <c r="L97" s="10">
        <f t="shared" si="25"/>
        <v>58616030</v>
      </c>
      <c r="M97" s="11">
        <f t="shared" si="34"/>
        <v>160934556</v>
      </c>
      <c r="N97" s="11">
        <f t="shared" si="34"/>
        <v>0</v>
      </c>
      <c r="O97" s="11">
        <f t="shared" si="34"/>
        <v>160934556</v>
      </c>
      <c r="P97" s="11">
        <f t="shared" si="34"/>
        <v>58616030</v>
      </c>
      <c r="Q97" s="11">
        <f t="shared" si="34"/>
        <v>160934556</v>
      </c>
      <c r="R97" s="11">
        <f t="shared" si="34"/>
        <v>0</v>
      </c>
      <c r="S97" s="111"/>
      <c r="T97" s="113"/>
      <c r="U97" s="113"/>
      <c r="V97" s="113"/>
      <c r="W97" s="113"/>
      <c r="X97" s="113"/>
      <c r="Y97" s="113"/>
      <c r="Z97" s="113"/>
      <c r="AA97" s="113"/>
    </row>
    <row r="98" spans="1:27" s="70" customFormat="1" x14ac:dyDescent="0.25">
      <c r="A98" s="99" t="s">
        <v>193</v>
      </c>
      <c r="B98" s="1" t="s">
        <v>194</v>
      </c>
      <c r="C98" s="11">
        <v>295323895</v>
      </c>
      <c r="D98" s="11">
        <v>0</v>
      </c>
      <c r="E98" s="11">
        <v>75773309</v>
      </c>
      <c r="F98" s="11">
        <v>0</v>
      </c>
      <c r="G98" s="11"/>
      <c r="H98" s="11">
        <v>0</v>
      </c>
      <c r="I98" s="11">
        <v>0</v>
      </c>
      <c r="J98" s="11">
        <f t="shared" si="24"/>
        <v>219550586</v>
      </c>
      <c r="K98" s="11">
        <v>160934556</v>
      </c>
      <c r="L98" s="10">
        <f t="shared" si="25"/>
        <v>58616030</v>
      </c>
      <c r="M98" s="11">
        <v>160934556</v>
      </c>
      <c r="N98" s="11">
        <v>0</v>
      </c>
      <c r="O98" s="11">
        <v>160934556</v>
      </c>
      <c r="P98" s="11">
        <f>+J98-O98</f>
        <v>58616030</v>
      </c>
      <c r="Q98" s="11">
        <f t="shared" si="26"/>
        <v>160934556</v>
      </c>
      <c r="R98" s="11">
        <f>+K98-M98</f>
        <v>0</v>
      </c>
      <c r="S98" s="111"/>
      <c r="T98" s="113"/>
      <c r="U98" s="113"/>
      <c r="V98" s="113"/>
      <c r="W98" s="113"/>
      <c r="X98" s="113"/>
      <c r="Y98" s="113"/>
      <c r="Z98" s="113"/>
      <c r="AA98" s="113"/>
    </row>
    <row r="99" spans="1:27" s="183" customFormat="1" x14ac:dyDescent="0.25">
      <c r="A99" s="4" t="s">
        <v>195</v>
      </c>
      <c r="B99" s="5" t="s">
        <v>196</v>
      </c>
      <c r="C99" s="10">
        <f>+C100</f>
        <v>10172993805</v>
      </c>
      <c r="D99" s="10">
        <f>+D100</f>
        <v>0</v>
      </c>
      <c r="E99" s="10">
        <f t="shared" ref="E99:R99" si="35">+E100</f>
        <v>0</v>
      </c>
      <c r="F99" s="10">
        <f t="shared" si="35"/>
        <v>0</v>
      </c>
      <c r="G99" s="10">
        <f t="shared" si="35"/>
        <v>0</v>
      </c>
      <c r="H99" s="10">
        <f t="shared" si="35"/>
        <v>0</v>
      </c>
      <c r="I99" s="10">
        <f t="shared" si="35"/>
        <v>0</v>
      </c>
      <c r="J99" s="10">
        <f t="shared" si="35"/>
        <v>10172993805</v>
      </c>
      <c r="K99" s="10">
        <f t="shared" si="35"/>
        <v>10172993805</v>
      </c>
      <c r="L99" s="10">
        <f t="shared" si="25"/>
        <v>0</v>
      </c>
      <c r="M99" s="10">
        <f t="shared" si="35"/>
        <v>10172993805</v>
      </c>
      <c r="N99" s="10">
        <f t="shared" si="35"/>
        <v>0</v>
      </c>
      <c r="O99" s="10">
        <f t="shared" si="35"/>
        <v>10172993805</v>
      </c>
      <c r="P99" s="10">
        <f t="shared" si="35"/>
        <v>0</v>
      </c>
      <c r="Q99" s="10">
        <f t="shared" si="35"/>
        <v>10172993805</v>
      </c>
      <c r="R99" s="10">
        <f t="shared" si="35"/>
        <v>0</v>
      </c>
      <c r="S99" s="111"/>
      <c r="T99" s="113"/>
      <c r="U99" s="113"/>
      <c r="V99" s="113"/>
      <c r="W99" s="113"/>
      <c r="X99" s="113"/>
      <c r="Y99" s="113"/>
      <c r="Z99" s="113"/>
      <c r="AA99" s="113"/>
    </row>
    <row r="100" spans="1:27" s="183" customFormat="1" x14ac:dyDescent="0.25">
      <c r="A100" s="4" t="s">
        <v>197</v>
      </c>
      <c r="B100" s="5" t="s">
        <v>198</v>
      </c>
      <c r="C100" s="10">
        <f>+C101+C102</f>
        <v>10172993805</v>
      </c>
      <c r="D100" s="10">
        <f>+D101+D102</f>
        <v>0</v>
      </c>
      <c r="E100" s="10">
        <f t="shared" ref="E100:R100" si="36">+E101+E102</f>
        <v>0</v>
      </c>
      <c r="F100" s="10">
        <f t="shared" si="36"/>
        <v>0</v>
      </c>
      <c r="G100" s="10">
        <f t="shared" si="36"/>
        <v>0</v>
      </c>
      <c r="H100" s="10">
        <f t="shared" si="36"/>
        <v>0</v>
      </c>
      <c r="I100" s="10">
        <f t="shared" si="36"/>
        <v>0</v>
      </c>
      <c r="J100" s="10">
        <f t="shared" si="36"/>
        <v>10172993805</v>
      </c>
      <c r="K100" s="10">
        <f t="shared" si="36"/>
        <v>10172993805</v>
      </c>
      <c r="L100" s="10">
        <f t="shared" si="25"/>
        <v>0</v>
      </c>
      <c r="M100" s="10">
        <f t="shared" si="36"/>
        <v>10172993805</v>
      </c>
      <c r="N100" s="10">
        <f t="shared" si="36"/>
        <v>0</v>
      </c>
      <c r="O100" s="10">
        <f t="shared" si="36"/>
        <v>10172993805</v>
      </c>
      <c r="P100" s="10">
        <f t="shared" si="36"/>
        <v>0</v>
      </c>
      <c r="Q100" s="10">
        <f t="shared" si="36"/>
        <v>10172993805</v>
      </c>
      <c r="R100" s="10">
        <f t="shared" si="36"/>
        <v>0</v>
      </c>
      <c r="S100" s="111"/>
      <c r="T100" s="113"/>
      <c r="U100" s="113"/>
      <c r="V100" s="113"/>
      <c r="W100" s="113"/>
      <c r="X100" s="113"/>
      <c r="Y100" s="113"/>
      <c r="Z100" s="113"/>
      <c r="AA100" s="113"/>
    </row>
    <row r="101" spans="1:27" s="70" customFormat="1" x14ac:dyDescent="0.25">
      <c r="A101" s="99" t="s">
        <v>199</v>
      </c>
      <c r="B101" s="1" t="s">
        <v>200</v>
      </c>
      <c r="C101" s="11">
        <v>10000000000</v>
      </c>
      <c r="D101" s="11">
        <v>0</v>
      </c>
      <c r="E101" s="11">
        <v>0</v>
      </c>
      <c r="F101" s="11">
        <v>0</v>
      </c>
      <c r="G101" s="11"/>
      <c r="H101" s="11">
        <v>0</v>
      </c>
      <c r="I101" s="11">
        <v>0</v>
      </c>
      <c r="J101" s="11">
        <f t="shared" si="24"/>
        <v>10000000000</v>
      </c>
      <c r="K101" s="11">
        <v>10000000000</v>
      </c>
      <c r="L101" s="10">
        <f t="shared" si="25"/>
        <v>0</v>
      </c>
      <c r="M101" s="11">
        <v>10000000000</v>
      </c>
      <c r="N101" s="11">
        <v>0</v>
      </c>
      <c r="O101" s="11">
        <v>10000000000</v>
      </c>
      <c r="P101" s="11">
        <f>+J101-O101</f>
        <v>0</v>
      </c>
      <c r="Q101" s="11">
        <f t="shared" si="26"/>
        <v>10000000000</v>
      </c>
      <c r="R101" s="11">
        <f>+K101-M101</f>
        <v>0</v>
      </c>
      <c r="S101" s="111"/>
      <c r="T101" s="113"/>
      <c r="U101" s="113"/>
      <c r="V101" s="113"/>
      <c r="W101" s="113"/>
      <c r="X101" s="113"/>
      <c r="Y101" s="113"/>
      <c r="Z101" s="113"/>
      <c r="AA101" s="113"/>
    </row>
    <row r="102" spans="1:27" s="70" customFormat="1" x14ac:dyDescent="0.25">
      <c r="A102" s="99" t="s">
        <v>201</v>
      </c>
      <c r="B102" s="1" t="s">
        <v>202</v>
      </c>
      <c r="C102" s="11">
        <v>172993805</v>
      </c>
      <c r="D102" s="11">
        <v>0</v>
      </c>
      <c r="E102" s="11">
        <v>0</v>
      </c>
      <c r="F102" s="11">
        <v>0</v>
      </c>
      <c r="G102" s="11"/>
      <c r="H102" s="11">
        <v>0</v>
      </c>
      <c r="I102" s="11">
        <v>0</v>
      </c>
      <c r="J102" s="11">
        <f t="shared" si="24"/>
        <v>172993805</v>
      </c>
      <c r="K102" s="11">
        <v>172993805</v>
      </c>
      <c r="L102" s="10">
        <f t="shared" si="25"/>
        <v>0</v>
      </c>
      <c r="M102" s="11">
        <v>172993805</v>
      </c>
      <c r="N102" s="11">
        <v>0</v>
      </c>
      <c r="O102" s="11">
        <v>172993805</v>
      </c>
      <c r="P102" s="11">
        <f>+J102-O102</f>
        <v>0</v>
      </c>
      <c r="Q102" s="11">
        <f t="shared" si="26"/>
        <v>172993805</v>
      </c>
      <c r="R102" s="11">
        <f>+K102-M102</f>
        <v>0</v>
      </c>
      <c r="S102" s="111"/>
      <c r="T102" s="113"/>
      <c r="U102" s="113"/>
      <c r="V102" s="113"/>
      <c r="W102" s="113"/>
      <c r="X102" s="113"/>
      <c r="Y102" s="113"/>
      <c r="Z102" s="113"/>
      <c r="AA102" s="113"/>
    </row>
    <row r="103" spans="1:27" s="183" customFormat="1" x14ac:dyDescent="0.25">
      <c r="A103" s="4" t="s">
        <v>203</v>
      </c>
      <c r="B103" s="5" t="s">
        <v>204</v>
      </c>
      <c r="C103" s="10">
        <f>+C104</f>
        <v>16293609498</v>
      </c>
      <c r="D103" s="10">
        <f>+D104</f>
        <v>2019063167</v>
      </c>
      <c r="E103" s="10">
        <f t="shared" ref="E103:R103" si="37">+E104</f>
        <v>1312831877</v>
      </c>
      <c r="F103" s="10">
        <f t="shared" si="37"/>
        <v>533419445</v>
      </c>
      <c r="G103" s="10">
        <f t="shared" si="37"/>
        <v>0</v>
      </c>
      <c r="H103" s="10">
        <f t="shared" si="37"/>
        <v>1250570468</v>
      </c>
      <c r="I103" s="10">
        <f t="shared" si="37"/>
        <v>18925430120.309998</v>
      </c>
      <c r="J103" s="10">
        <f t="shared" si="37"/>
        <v>34141280995.309998</v>
      </c>
      <c r="K103" s="10">
        <f t="shared" si="37"/>
        <v>13797557868.540001</v>
      </c>
      <c r="L103" s="10">
        <f t="shared" si="25"/>
        <v>20343723126.769997</v>
      </c>
      <c r="M103" s="10">
        <f t="shared" si="37"/>
        <v>10458584458.950001</v>
      </c>
      <c r="N103" s="10">
        <f t="shared" si="37"/>
        <v>3962337634.8500004</v>
      </c>
      <c r="O103" s="10">
        <f t="shared" si="37"/>
        <v>16520176269.380001</v>
      </c>
      <c r="P103" s="10">
        <f t="shared" si="37"/>
        <v>17621104725.93</v>
      </c>
      <c r="Q103" s="10">
        <f t="shared" si="37"/>
        <v>10458584458.950001</v>
      </c>
      <c r="R103" s="10">
        <f t="shared" si="37"/>
        <v>3340997951.5900002</v>
      </c>
      <c r="S103" s="111"/>
      <c r="T103" s="112"/>
      <c r="U103" s="112"/>
      <c r="V103" s="112"/>
      <c r="W103" s="112"/>
      <c r="X103" s="112"/>
      <c r="Y103" s="112"/>
      <c r="Z103" s="112"/>
      <c r="AA103" s="112"/>
    </row>
    <row r="104" spans="1:27" s="183" customFormat="1" x14ac:dyDescent="0.25">
      <c r="A104" s="4" t="s">
        <v>205</v>
      </c>
      <c r="B104" s="5" t="s">
        <v>204</v>
      </c>
      <c r="C104" s="10">
        <f t="shared" ref="C104:R104" si="38">+C105+C125+C131+C135+C168+C203+C222+C223</f>
        <v>16293609498</v>
      </c>
      <c r="D104" s="10">
        <f>+D105+D125+D131+D135+D168+D203+D222+D223</f>
        <v>2019063167</v>
      </c>
      <c r="E104" s="10">
        <f t="shared" si="38"/>
        <v>1312831877</v>
      </c>
      <c r="F104" s="10">
        <f t="shared" si="38"/>
        <v>533419445</v>
      </c>
      <c r="G104" s="10">
        <f t="shared" si="38"/>
        <v>0</v>
      </c>
      <c r="H104" s="10">
        <f t="shared" si="38"/>
        <v>1250570468</v>
      </c>
      <c r="I104" s="10">
        <f t="shared" si="38"/>
        <v>18925430120.309998</v>
      </c>
      <c r="J104" s="10">
        <f t="shared" si="38"/>
        <v>34141280995.309998</v>
      </c>
      <c r="K104" s="10">
        <f t="shared" si="38"/>
        <v>13797557868.540001</v>
      </c>
      <c r="L104" s="10">
        <f t="shared" si="25"/>
        <v>20343723126.769997</v>
      </c>
      <c r="M104" s="10">
        <f t="shared" si="38"/>
        <v>10458584458.950001</v>
      </c>
      <c r="N104" s="10">
        <f t="shared" si="38"/>
        <v>3962337634.8500004</v>
      </c>
      <c r="O104" s="10">
        <f t="shared" si="38"/>
        <v>16520176269.380001</v>
      </c>
      <c r="P104" s="10">
        <f t="shared" si="38"/>
        <v>17621104725.93</v>
      </c>
      <c r="Q104" s="10">
        <f t="shared" si="38"/>
        <v>10458584458.950001</v>
      </c>
      <c r="R104" s="10">
        <f t="shared" si="38"/>
        <v>3340997951.5900002</v>
      </c>
      <c r="S104" s="111"/>
      <c r="T104" s="112"/>
      <c r="U104" s="112"/>
      <c r="V104" s="112"/>
      <c r="W104" s="112"/>
      <c r="X104" s="112"/>
      <c r="Y104" s="112"/>
      <c r="Z104" s="112"/>
      <c r="AA104" s="112"/>
    </row>
    <row r="105" spans="1:27" s="183" customFormat="1" x14ac:dyDescent="0.25">
      <c r="A105" s="4" t="s">
        <v>206</v>
      </c>
      <c r="B105" s="5" t="s">
        <v>207</v>
      </c>
      <c r="C105" s="10">
        <f>SUM(C106:C124)</f>
        <v>964248530</v>
      </c>
      <c r="D105" s="10">
        <f>SUM(D106:D124)</f>
        <v>920000000</v>
      </c>
      <c r="E105" s="10">
        <f t="shared" ref="E105:R105" si="39">SUM(E106:E124)</f>
        <v>362560793</v>
      </c>
      <c r="F105" s="10">
        <f t="shared" si="39"/>
        <v>248296000</v>
      </c>
      <c r="G105" s="10">
        <f t="shared" si="39"/>
        <v>0</v>
      </c>
      <c r="H105" s="10">
        <f t="shared" si="39"/>
        <v>0</v>
      </c>
      <c r="I105" s="10">
        <f t="shared" si="39"/>
        <v>0</v>
      </c>
      <c r="J105" s="10">
        <f t="shared" si="39"/>
        <v>1273391737</v>
      </c>
      <c r="K105" s="10">
        <f t="shared" si="39"/>
        <v>1118136938</v>
      </c>
      <c r="L105" s="10">
        <f t="shared" si="25"/>
        <v>155254799</v>
      </c>
      <c r="M105" s="10">
        <f t="shared" si="39"/>
        <v>1116298388</v>
      </c>
      <c r="N105" s="10">
        <f t="shared" si="39"/>
        <v>25899053</v>
      </c>
      <c r="O105" s="10">
        <f t="shared" si="39"/>
        <v>1118842886</v>
      </c>
      <c r="P105" s="10">
        <f t="shared" si="39"/>
        <v>154548851</v>
      </c>
      <c r="Q105" s="10">
        <f t="shared" si="39"/>
        <v>1116298388</v>
      </c>
      <c r="R105" s="10">
        <f t="shared" si="39"/>
        <v>1838550</v>
      </c>
      <c r="S105" s="111"/>
      <c r="T105" s="112"/>
      <c r="U105" s="112"/>
      <c r="V105" s="112"/>
      <c r="W105" s="112"/>
      <c r="X105" s="112"/>
      <c r="Y105" s="112"/>
      <c r="Z105" s="112"/>
      <c r="AA105" s="112"/>
    </row>
    <row r="106" spans="1:27" s="70" customFormat="1" x14ac:dyDescent="0.25">
      <c r="A106" s="99" t="s">
        <v>208</v>
      </c>
      <c r="B106" s="1" t="s">
        <v>209</v>
      </c>
      <c r="C106" s="11">
        <v>40000000</v>
      </c>
      <c r="D106" s="11">
        <v>0</v>
      </c>
      <c r="E106" s="11">
        <v>40000000</v>
      </c>
      <c r="F106" s="11">
        <v>0</v>
      </c>
      <c r="G106" s="11"/>
      <c r="H106" s="11">
        <v>0</v>
      </c>
      <c r="I106" s="11">
        <v>0</v>
      </c>
      <c r="J106" s="11">
        <f t="shared" si="24"/>
        <v>0</v>
      </c>
      <c r="K106" s="11">
        <v>0</v>
      </c>
      <c r="L106" s="10">
        <f t="shared" si="25"/>
        <v>0</v>
      </c>
      <c r="M106" s="11">
        <v>0</v>
      </c>
      <c r="N106" s="11">
        <v>0</v>
      </c>
      <c r="O106" s="11">
        <v>0</v>
      </c>
      <c r="P106" s="11">
        <f t="shared" ref="P106:P124" si="40">+J106-O106</f>
        <v>0</v>
      </c>
      <c r="Q106" s="11">
        <f t="shared" si="26"/>
        <v>0</v>
      </c>
      <c r="R106" s="11">
        <f t="shared" ref="R106:R124" si="41">+K106-M106</f>
        <v>0</v>
      </c>
      <c r="S106" s="111"/>
      <c r="T106" s="113"/>
      <c r="U106" s="113"/>
      <c r="V106" s="113"/>
      <c r="W106" s="113"/>
      <c r="X106" s="113"/>
      <c r="Y106" s="113"/>
      <c r="Z106" s="113"/>
      <c r="AA106" s="113"/>
    </row>
    <row r="107" spans="1:27" s="70" customFormat="1" x14ac:dyDescent="0.25">
      <c r="A107" s="99" t="s">
        <v>210</v>
      </c>
      <c r="B107" s="1" t="s">
        <v>211</v>
      </c>
      <c r="C107" s="11">
        <v>52250000</v>
      </c>
      <c r="D107" s="11">
        <v>0</v>
      </c>
      <c r="E107" s="11">
        <v>52250000</v>
      </c>
      <c r="F107" s="11">
        <v>0</v>
      </c>
      <c r="G107" s="11"/>
      <c r="H107" s="11">
        <v>0</v>
      </c>
      <c r="I107" s="11">
        <v>0</v>
      </c>
      <c r="J107" s="11">
        <f t="shared" si="24"/>
        <v>0</v>
      </c>
      <c r="K107" s="11">
        <v>0</v>
      </c>
      <c r="L107" s="10">
        <f t="shared" si="25"/>
        <v>0</v>
      </c>
      <c r="M107" s="11">
        <v>0</v>
      </c>
      <c r="N107" s="11">
        <v>0</v>
      </c>
      <c r="O107" s="11">
        <v>0</v>
      </c>
      <c r="P107" s="11">
        <f t="shared" si="40"/>
        <v>0</v>
      </c>
      <c r="Q107" s="11">
        <f t="shared" si="26"/>
        <v>0</v>
      </c>
      <c r="R107" s="11">
        <f t="shared" si="41"/>
        <v>0</v>
      </c>
      <c r="S107" s="111"/>
      <c r="T107" s="113"/>
      <c r="U107" s="113"/>
      <c r="V107" s="113"/>
      <c r="W107" s="113"/>
      <c r="X107" s="113"/>
      <c r="Y107" s="113"/>
      <c r="Z107" s="113"/>
      <c r="AA107" s="113"/>
    </row>
    <row r="108" spans="1:27" s="70" customFormat="1" x14ac:dyDescent="0.25">
      <c r="A108" s="99" t="s">
        <v>212</v>
      </c>
      <c r="B108" s="1" t="s">
        <v>213</v>
      </c>
      <c r="C108" s="11">
        <v>1000</v>
      </c>
      <c r="D108" s="11">
        <v>0</v>
      </c>
      <c r="E108" s="11">
        <v>0</v>
      </c>
      <c r="F108" s="11">
        <v>0</v>
      </c>
      <c r="G108" s="11"/>
      <c r="H108" s="11">
        <v>0</v>
      </c>
      <c r="I108" s="11">
        <v>0</v>
      </c>
      <c r="J108" s="11">
        <f t="shared" si="24"/>
        <v>1000</v>
      </c>
      <c r="K108" s="11">
        <v>0</v>
      </c>
      <c r="L108" s="10">
        <f t="shared" si="25"/>
        <v>1000</v>
      </c>
      <c r="M108" s="11">
        <v>0</v>
      </c>
      <c r="N108" s="11">
        <v>0</v>
      </c>
      <c r="O108" s="11">
        <v>0</v>
      </c>
      <c r="P108" s="11">
        <f t="shared" si="40"/>
        <v>1000</v>
      </c>
      <c r="Q108" s="11">
        <f t="shared" si="26"/>
        <v>0</v>
      </c>
      <c r="R108" s="11">
        <f t="shared" si="41"/>
        <v>0</v>
      </c>
      <c r="S108" s="111"/>
      <c r="T108" s="113"/>
      <c r="U108" s="113"/>
      <c r="V108" s="113"/>
      <c r="W108" s="113"/>
      <c r="X108" s="113"/>
      <c r="Y108" s="113"/>
      <c r="Z108" s="113"/>
      <c r="AA108" s="113"/>
    </row>
    <row r="109" spans="1:27" s="70" customFormat="1" x14ac:dyDescent="0.25">
      <c r="A109" s="99" t="s">
        <v>214</v>
      </c>
      <c r="B109" s="1" t="s">
        <v>215</v>
      </c>
      <c r="C109" s="11">
        <v>224000000</v>
      </c>
      <c r="D109" s="11">
        <v>0</v>
      </c>
      <c r="E109" s="11">
        <v>173511100</v>
      </c>
      <c r="F109" s="11">
        <v>0</v>
      </c>
      <c r="G109" s="11"/>
      <c r="H109" s="11">
        <v>0</v>
      </c>
      <c r="I109" s="11">
        <v>0</v>
      </c>
      <c r="J109" s="11">
        <f t="shared" si="24"/>
        <v>50488900</v>
      </c>
      <c r="K109" s="11">
        <v>35014395</v>
      </c>
      <c r="L109" s="10">
        <f t="shared" si="25"/>
        <v>15474505</v>
      </c>
      <c r="M109" s="11">
        <v>33175845</v>
      </c>
      <c r="N109" s="11">
        <v>1838550</v>
      </c>
      <c r="O109" s="11">
        <v>35488900</v>
      </c>
      <c r="P109" s="11">
        <f t="shared" si="40"/>
        <v>15000000</v>
      </c>
      <c r="Q109" s="11">
        <f t="shared" si="26"/>
        <v>33175845</v>
      </c>
      <c r="R109" s="11">
        <f t="shared" si="41"/>
        <v>1838550</v>
      </c>
      <c r="S109" s="111"/>
      <c r="T109" s="113"/>
      <c r="U109" s="113"/>
      <c r="V109" s="113"/>
      <c r="W109" s="113"/>
      <c r="X109" s="113"/>
      <c r="Y109" s="113"/>
      <c r="Z109" s="113"/>
      <c r="AA109" s="113"/>
    </row>
    <row r="110" spans="1:27" s="70" customFormat="1" x14ac:dyDescent="0.25">
      <c r="A110" s="99" t="s">
        <v>216</v>
      </c>
      <c r="B110" s="1" t="s">
        <v>217</v>
      </c>
      <c r="C110" s="11">
        <v>31350000</v>
      </c>
      <c r="D110" s="11">
        <v>0</v>
      </c>
      <c r="E110" s="11">
        <v>0</v>
      </c>
      <c r="F110" s="11">
        <v>0</v>
      </c>
      <c r="G110" s="11"/>
      <c r="H110" s="11">
        <v>0</v>
      </c>
      <c r="I110" s="11">
        <v>0</v>
      </c>
      <c r="J110" s="11">
        <f t="shared" si="24"/>
        <v>31350000</v>
      </c>
      <c r="K110" s="11">
        <v>31350000</v>
      </c>
      <c r="L110" s="10">
        <f t="shared" si="25"/>
        <v>0</v>
      </c>
      <c r="M110" s="11">
        <v>31350000</v>
      </c>
      <c r="N110" s="11">
        <v>0</v>
      </c>
      <c r="O110" s="11">
        <v>31350000</v>
      </c>
      <c r="P110" s="11">
        <f t="shared" si="40"/>
        <v>0</v>
      </c>
      <c r="Q110" s="11">
        <f t="shared" si="26"/>
        <v>31350000</v>
      </c>
      <c r="R110" s="11">
        <f t="shared" si="41"/>
        <v>0</v>
      </c>
      <c r="S110" s="111"/>
      <c r="T110" s="113"/>
      <c r="U110" s="113"/>
      <c r="V110" s="113"/>
      <c r="W110" s="113"/>
      <c r="X110" s="113"/>
      <c r="Y110" s="113"/>
      <c r="Z110" s="113"/>
      <c r="AA110" s="113"/>
    </row>
    <row r="111" spans="1:27" s="70" customFormat="1" x14ac:dyDescent="0.25">
      <c r="A111" s="99" t="s">
        <v>218</v>
      </c>
      <c r="B111" s="1" t="s">
        <v>219</v>
      </c>
      <c r="C111" s="11">
        <v>1000</v>
      </c>
      <c r="D111" s="11">
        <v>0</v>
      </c>
      <c r="E111" s="11">
        <v>0</v>
      </c>
      <c r="F111" s="11">
        <v>0</v>
      </c>
      <c r="G111" s="11"/>
      <c r="H111" s="11">
        <v>0</v>
      </c>
      <c r="I111" s="11">
        <v>0</v>
      </c>
      <c r="J111" s="11">
        <f t="shared" si="24"/>
        <v>1000</v>
      </c>
      <c r="K111" s="11">
        <v>0</v>
      </c>
      <c r="L111" s="10">
        <f t="shared" si="25"/>
        <v>1000</v>
      </c>
      <c r="M111" s="11">
        <v>0</v>
      </c>
      <c r="N111" s="11">
        <v>0</v>
      </c>
      <c r="O111" s="11">
        <v>0</v>
      </c>
      <c r="P111" s="11">
        <f t="shared" si="40"/>
        <v>1000</v>
      </c>
      <c r="Q111" s="11">
        <f t="shared" si="26"/>
        <v>0</v>
      </c>
      <c r="R111" s="11">
        <f t="shared" si="41"/>
        <v>0</v>
      </c>
      <c r="S111" s="111"/>
      <c r="T111" s="113"/>
      <c r="U111" s="113"/>
      <c r="V111" s="113"/>
      <c r="W111" s="113"/>
      <c r="X111" s="113"/>
      <c r="Y111" s="113"/>
      <c r="Z111" s="113"/>
      <c r="AA111" s="113"/>
    </row>
    <row r="112" spans="1:27" s="70" customFormat="1" x14ac:dyDescent="0.25">
      <c r="A112" s="99" t="s">
        <v>220</v>
      </c>
      <c r="B112" s="1" t="s">
        <v>221</v>
      </c>
      <c r="C112" s="11">
        <v>1000</v>
      </c>
      <c r="D112" s="11">
        <v>0</v>
      </c>
      <c r="E112" s="11">
        <v>0</v>
      </c>
      <c r="F112" s="11">
        <v>0</v>
      </c>
      <c r="G112" s="11"/>
      <c r="H112" s="11">
        <v>0</v>
      </c>
      <c r="I112" s="11">
        <v>0</v>
      </c>
      <c r="J112" s="11">
        <f t="shared" si="24"/>
        <v>1000</v>
      </c>
      <c r="K112" s="11">
        <v>0</v>
      </c>
      <c r="L112" s="10">
        <f t="shared" si="25"/>
        <v>1000</v>
      </c>
      <c r="M112" s="11">
        <v>0</v>
      </c>
      <c r="N112" s="11">
        <v>0</v>
      </c>
      <c r="O112" s="11">
        <v>0</v>
      </c>
      <c r="P112" s="11">
        <f t="shared" si="40"/>
        <v>1000</v>
      </c>
      <c r="Q112" s="11">
        <f t="shared" si="26"/>
        <v>0</v>
      </c>
      <c r="R112" s="11">
        <f t="shared" si="41"/>
        <v>0</v>
      </c>
      <c r="S112" s="111"/>
      <c r="T112" s="113"/>
      <c r="U112" s="113"/>
      <c r="V112" s="113"/>
      <c r="W112" s="113"/>
      <c r="X112" s="113"/>
      <c r="Y112" s="113"/>
      <c r="Z112" s="113"/>
      <c r="AA112" s="113"/>
    </row>
    <row r="113" spans="1:27" s="70" customFormat="1" x14ac:dyDescent="0.25">
      <c r="A113" s="99" t="s">
        <v>222</v>
      </c>
      <c r="B113" s="1" t="s">
        <v>223</v>
      </c>
      <c r="C113" s="11">
        <v>1000</v>
      </c>
      <c r="D113" s="11">
        <v>0</v>
      </c>
      <c r="E113" s="11">
        <v>0</v>
      </c>
      <c r="F113" s="11">
        <v>0</v>
      </c>
      <c r="G113" s="11"/>
      <c r="H113" s="11">
        <v>0</v>
      </c>
      <c r="I113" s="11">
        <v>0</v>
      </c>
      <c r="J113" s="11">
        <f t="shared" si="24"/>
        <v>1000</v>
      </c>
      <c r="K113" s="11">
        <v>0</v>
      </c>
      <c r="L113" s="10">
        <f t="shared" si="25"/>
        <v>1000</v>
      </c>
      <c r="M113" s="11">
        <v>0</v>
      </c>
      <c r="N113" s="11">
        <v>0</v>
      </c>
      <c r="O113" s="11">
        <v>0</v>
      </c>
      <c r="P113" s="11">
        <f t="shared" si="40"/>
        <v>1000</v>
      </c>
      <c r="Q113" s="11">
        <f t="shared" si="26"/>
        <v>0</v>
      </c>
      <c r="R113" s="11">
        <f t="shared" si="41"/>
        <v>0</v>
      </c>
      <c r="S113" s="111"/>
      <c r="T113" s="113"/>
      <c r="U113" s="113"/>
      <c r="V113" s="113"/>
      <c r="W113" s="113"/>
      <c r="X113" s="113"/>
      <c r="Y113" s="113"/>
      <c r="Z113" s="113"/>
      <c r="AA113" s="113"/>
    </row>
    <row r="114" spans="1:27" s="70" customFormat="1" x14ac:dyDescent="0.25">
      <c r="A114" s="99" t="s">
        <v>224</v>
      </c>
      <c r="B114" s="1" t="s">
        <v>225</v>
      </c>
      <c r="C114" s="11">
        <v>49405000</v>
      </c>
      <c r="D114" s="11">
        <v>0</v>
      </c>
      <c r="E114" s="11">
        <v>9405000</v>
      </c>
      <c r="F114" s="11">
        <v>40000000</v>
      </c>
      <c r="G114" s="11"/>
      <c r="H114" s="11">
        <v>0</v>
      </c>
      <c r="I114" s="11">
        <v>0</v>
      </c>
      <c r="J114" s="11">
        <f t="shared" si="24"/>
        <v>0</v>
      </c>
      <c r="K114" s="11">
        <v>0</v>
      </c>
      <c r="L114" s="10">
        <f t="shared" si="25"/>
        <v>0</v>
      </c>
      <c r="M114" s="11">
        <v>0</v>
      </c>
      <c r="N114" s="11">
        <v>0</v>
      </c>
      <c r="O114" s="11">
        <v>0</v>
      </c>
      <c r="P114" s="11">
        <f t="shared" si="40"/>
        <v>0</v>
      </c>
      <c r="Q114" s="11">
        <f t="shared" si="26"/>
        <v>0</v>
      </c>
      <c r="R114" s="11">
        <f t="shared" si="41"/>
        <v>0</v>
      </c>
      <c r="S114" s="111"/>
      <c r="T114" s="113"/>
      <c r="U114" s="113"/>
      <c r="V114" s="113"/>
      <c r="W114" s="113"/>
      <c r="X114" s="113"/>
      <c r="Y114" s="113"/>
      <c r="Z114" s="113"/>
      <c r="AA114" s="113"/>
    </row>
    <row r="115" spans="1:27" s="70" customFormat="1" x14ac:dyDescent="0.25">
      <c r="A115" s="99" t="s">
        <v>226</v>
      </c>
      <c r="B115" s="1" t="s">
        <v>227</v>
      </c>
      <c r="C115" s="11">
        <v>63746000</v>
      </c>
      <c r="D115" s="11">
        <v>0</v>
      </c>
      <c r="E115" s="11">
        <v>0</v>
      </c>
      <c r="F115" s="11">
        <v>63746000</v>
      </c>
      <c r="G115" s="11"/>
      <c r="H115" s="11">
        <v>0</v>
      </c>
      <c r="I115" s="11">
        <v>0</v>
      </c>
      <c r="J115" s="11">
        <f t="shared" si="24"/>
        <v>0</v>
      </c>
      <c r="K115" s="11">
        <v>0</v>
      </c>
      <c r="L115" s="10">
        <f t="shared" si="25"/>
        <v>0</v>
      </c>
      <c r="M115" s="11">
        <v>0</v>
      </c>
      <c r="N115" s="11">
        <v>0</v>
      </c>
      <c r="O115" s="11">
        <v>0</v>
      </c>
      <c r="P115" s="11">
        <f t="shared" si="40"/>
        <v>0</v>
      </c>
      <c r="Q115" s="11">
        <f t="shared" si="26"/>
        <v>0</v>
      </c>
      <c r="R115" s="11">
        <f t="shared" si="41"/>
        <v>0</v>
      </c>
      <c r="S115" s="111"/>
      <c r="T115" s="113"/>
      <c r="U115" s="113"/>
      <c r="V115" s="113"/>
      <c r="W115" s="113"/>
      <c r="X115" s="113"/>
      <c r="Y115" s="113"/>
      <c r="Z115" s="113"/>
      <c r="AA115" s="113"/>
    </row>
    <row r="116" spans="1:27" s="70" customFormat="1" x14ac:dyDescent="0.25">
      <c r="A116" s="99" t="s">
        <v>228</v>
      </c>
      <c r="B116" s="1" t="s">
        <v>229</v>
      </c>
      <c r="C116" s="11">
        <v>1000</v>
      </c>
      <c r="D116" s="11">
        <v>0</v>
      </c>
      <c r="E116" s="11">
        <v>0</v>
      </c>
      <c r="F116" s="11">
        <v>0</v>
      </c>
      <c r="G116" s="11"/>
      <c r="H116" s="11">
        <v>0</v>
      </c>
      <c r="I116" s="11">
        <v>0</v>
      </c>
      <c r="J116" s="11">
        <f t="shared" si="24"/>
        <v>1000</v>
      </c>
      <c r="K116" s="11">
        <v>0</v>
      </c>
      <c r="L116" s="10">
        <f t="shared" si="25"/>
        <v>1000</v>
      </c>
      <c r="M116" s="11">
        <v>0</v>
      </c>
      <c r="N116" s="11">
        <v>0</v>
      </c>
      <c r="O116" s="11">
        <v>0</v>
      </c>
      <c r="P116" s="11">
        <f t="shared" si="40"/>
        <v>1000</v>
      </c>
      <c r="Q116" s="11">
        <f t="shared" si="26"/>
        <v>0</v>
      </c>
      <c r="R116" s="11">
        <f t="shared" si="41"/>
        <v>0</v>
      </c>
      <c r="S116" s="111"/>
      <c r="T116" s="113"/>
      <c r="U116" s="113"/>
      <c r="V116" s="113"/>
      <c r="W116" s="113"/>
      <c r="X116" s="113"/>
      <c r="Y116" s="113"/>
      <c r="Z116" s="113"/>
      <c r="AA116" s="113"/>
    </row>
    <row r="117" spans="1:27" s="70" customFormat="1" x14ac:dyDescent="0.25">
      <c r="A117" s="99" t="s">
        <v>230</v>
      </c>
      <c r="B117" s="1" t="s">
        <v>231</v>
      </c>
      <c r="C117" s="11">
        <v>1000</v>
      </c>
      <c r="D117" s="11">
        <v>0</v>
      </c>
      <c r="E117" s="11">
        <v>0</v>
      </c>
      <c r="F117" s="11">
        <v>0</v>
      </c>
      <c r="G117" s="11"/>
      <c r="H117" s="11">
        <v>0</v>
      </c>
      <c r="I117" s="11">
        <v>0</v>
      </c>
      <c r="J117" s="11">
        <f t="shared" si="24"/>
        <v>1000</v>
      </c>
      <c r="K117" s="11">
        <v>0</v>
      </c>
      <c r="L117" s="10">
        <f t="shared" si="25"/>
        <v>1000</v>
      </c>
      <c r="M117" s="11">
        <v>0</v>
      </c>
      <c r="N117" s="11">
        <v>0</v>
      </c>
      <c r="O117" s="11">
        <v>0</v>
      </c>
      <c r="P117" s="11">
        <f t="shared" si="40"/>
        <v>1000</v>
      </c>
      <c r="Q117" s="11">
        <f t="shared" si="26"/>
        <v>0</v>
      </c>
      <c r="R117" s="11">
        <f t="shared" si="41"/>
        <v>0</v>
      </c>
      <c r="S117" s="111"/>
      <c r="T117" s="113"/>
      <c r="U117" s="113"/>
      <c r="V117" s="113"/>
      <c r="W117" s="113"/>
      <c r="X117" s="113"/>
      <c r="Y117" s="113"/>
      <c r="Z117" s="113"/>
      <c r="AA117" s="113"/>
    </row>
    <row r="118" spans="1:27" s="70" customFormat="1" x14ac:dyDescent="0.25">
      <c r="A118" s="99" t="s">
        <v>232</v>
      </c>
      <c r="B118" s="1" t="s">
        <v>233</v>
      </c>
      <c r="C118" s="11">
        <v>1000</v>
      </c>
      <c r="D118" s="11">
        <v>0</v>
      </c>
      <c r="E118" s="11">
        <v>0</v>
      </c>
      <c r="F118" s="11">
        <v>0</v>
      </c>
      <c r="G118" s="11"/>
      <c r="H118" s="11">
        <v>0</v>
      </c>
      <c r="I118" s="11">
        <v>0</v>
      </c>
      <c r="J118" s="11">
        <f t="shared" si="24"/>
        <v>1000</v>
      </c>
      <c r="K118" s="11">
        <v>0</v>
      </c>
      <c r="L118" s="10">
        <f t="shared" si="25"/>
        <v>1000</v>
      </c>
      <c r="M118" s="11">
        <v>0</v>
      </c>
      <c r="N118" s="11">
        <v>0</v>
      </c>
      <c r="O118" s="11">
        <v>0</v>
      </c>
      <c r="P118" s="11">
        <f t="shared" si="40"/>
        <v>1000</v>
      </c>
      <c r="Q118" s="11">
        <f t="shared" si="26"/>
        <v>0</v>
      </c>
      <c r="R118" s="11">
        <f t="shared" si="41"/>
        <v>0</v>
      </c>
      <c r="S118" s="111"/>
      <c r="T118" s="113"/>
      <c r="U118" s="113"/>
      <c r="V118" s="113"/>
      <c r="W118" s="113"/>
      <c r="X118" s="113"/>
      <c r="Y118" s="113"/>
      <c r="Z118" s="113"/>
      <c r="AA118" s="113"/>
    </row>
    <row r="119" spans="1:27" s="70" customFormat="1" x14ac:dyDescent="0.25">
      <c r="A119" s="99" t="s">
        <v>234</v>
      </c>
      <c r="B119" s="1" t="s">
        <v>235</v>
      </c>
      <c r="C119" s="11">
        <v>80000000</v>
      </c>
      <c r="D119" s="11">
        <v>0</v>
      </c>
      <c r="E119" s="11">
        <v>40000000</v>
      </c>
      <c r="F119" s="11">
        <v>40000000</v>
      </c>
      <c r="G119" s="11"/>
      <c r="H119" s="11">
        <v>0</v>
      </c>
      <c r="I119" s="11">
        <v>0</v>
      </c>
      <c r="J119" s="11">
        <f t="shared" si="24"/>
        <v>0</v>
      </c>
      <c r="K119" s="11">
        <v>0</v>
      </c>
      <c r="L119" s="10">
        <f t="shared" si="25"/>
        <v>0</v>
      </c>
      <c r="M119" s="11">
        <v>0</v>
      </c>
      <c r="N119" s="11">
        <v>0</v>
      </c>
      <c r="O119" s="11">
        <v>0</v>
      </c>
      <c r="P119" s="11">
        <f t="shared" si="40"/>
        <v>0</v>
      </c>
      <c r="Q119" s="11">
        <f t="shared" si="26"/>
        <v>0</v>
      </c>
      <c r="R119" s="11">
        <f t="shared" si="41"/>
        <v>0</v>
      </c>
      <c r="S119" s="111"/>
      <c r="T119" s="113"/>
      <c r="U119" s="113"/>
      <c r="V119" s="113"/>
      <c r="W119" s="113"/>
      <c r="X119" s="113"/>
      <c r="Y119" s="113"/>
      <c r="Z119" s="113"/>
      <c r="AA119" s="113"/>
    </row>
    <row r="120" spans="1:27" s="70" customFormat="1" x14ac:dyDescent="0.25">
      <c r="A120" s="99" t="s">
        <v>236</v>
      </c>
      <c r="B120" s="1" t="s">
        <v>237</v>
      </c>
      <c r="C120" s="11">
        <v>1000</v>
      </c>
      <c r="D120" s="11">
        <v>0</v>
      </c>
      <c r="E120" s="11">
        <v>0</v>
      </c>
      <c r="F120" s="11">
        <v>0</v>
      </c>
      <c r="G120" s="11"/>
      <c r="H120" s="11">
        <v>0</v>
      </c>
      <c r="I120" s="11">
        <v>0</v>
      </c>
      <c r="J120" s="11">
        <f t="shared" si="24"/>
        <v>1000</v>
      </c>
      <c r="K120" s="11">
        <v>0</v>
      </c>
      <c r="L120" s="10">
        <f t="shared" si="25"/>
        <v>1000</v>
      </c>
      <c r="M120" s="11">
        <v>0</v>
      </c>
      <c r="N120" s="11">
        <v>0</v>
      </c>
      <c r="O120" s="11">
        <v>0</v>
      </c>
      <c r="P120" s="11">
        <f t="shared" si="40"/>
        <v>1000</v>
      </c>
      <c r="Q120" s="11">
        <f t="shared" si="26"/>
        <v>0</v>
      </c>
      <c r="R120" s="11">
        <f t="shared" si="41"/>
        <v>0</v>
      </c>
      <c r="S120" s="111"/>
      <c r="T120" s="113"/>
      <c r="U120" s="113"/>
      <c r="V120" s="113"/>
      <c r="W120" s="113"/>
      <c r="X120" s="113"/>
      <c r="Y120" s="113"/>
      <c r="Z120" s="113"/>
      <c r="AA120" s="113"/>
    </row>
    <row r="121" spans="1:27" s="70" customFormat="1" x14ac:dyDescent="0.25">
      <c r="A121" s="99" t="s">
        <v>238</v>
      </c>
      <c r="B121" s="1" t="s">
        <v>239</v>
      </c>
      <c r="C121" s="11">
        <v>205129530</v>
      </c>
      <c r="D121" s="11">
        <v>920000000</v>
      </c>
      <c r="E121" s="11">
        <v>10471984</v>
      </c>
      <c r="F121" s="11">
        <v>0</v>
      </c>
      <c r="G121" s="11"/>
      <c r="H121" s="11">
        <v>0</v>
      </c>
      <c r="I121" s="11">
        <v>0</v>
      </c>
      <c r="J121" s="11">
        <f t="shared" si="24"/>
        <v>1114657546</v>
      </c>
      <c r="K121" s="11">
        <v>974885252</v>
      </c>
      <c r="L121" s="10">
        <f t="shared" si="25"/>
        <v>139772294</v>
      </c>
      <c r="M121" s="11">
        <v>974885252</v>
      </c>
      <c r="N121" s="11">
        <v>24060503</v>
      </c>
      <c r="O121" s="11">
        <v>975116695</v>
      </c>
      <c r="P121" s="11">
        <f t="shared" si="40"/>
        <v>139540851</v>
      </c>
      <c r="Q121" s="11">
        <f t="shared" si="26"/>
        <v>974885252</v>
      </c>
      <c r="R121" s="11">
        <f t="shared" si="41"/>
        <v>0</v>
      </c>
      <c r="S121" s="111"/>
      <c r="T121" s="113"/>
      <c r="U121" s="113"/>
      <c r="V121" s="113"/>
      <c r="W121" s="113"/>
      <c r="X121" s="113"/>
      <c r="Y121" s="113"/>
      <c r="Z121" s="113"/>
      <c r="AA121" s="113"/>
    </row>
    <row r="122" spans="1:27" s="70" customFormat="1" x14ac:dyDescent="0.25">
      <c r="A122" s="99" t="s">
        <v>240</v>
      </c>
      <c r="B122" s="1" t="s">
        <v>241</v>
      </c>
      <c r="C122" s="11">
        <v>68360000</v>
      </c>
      <c r="D122" s="11">
        <v>0</v>
      </c>
      <c r="E122" s="11">
        <v>7064225</v>
      </c>
      <c r="F122" s="11">
        <v>34550000</v>
      </c>
      <c r="G122" s="11"/>
      <c r="H122" s="11">
        <v>0</v>
      </c>
      <c r="I122" s="11">
        <v>0</v>
      </c>
      <c r="J122" s="11">
        <f t="shared" si="24"/>
        <v>26745775</v>
      </c>
      <c r="K122" s="11">
        <v>26745775</v>
      </c>
      <c r="L122" s="10">
        <f t="shared" si="25"/>
        <v>0</v>
      </c>
      <c r="M122" s="11">
        <v>26745775</v>
      </c>
      <c r="N122" s="11">
        <v>0</v>
      </c>
      <c r="O122" s="11">
        <v>26745775</v>
      </c>
      <c r="P122" s="11">
        <f t="shared" si="40"/>
        <v>0</v>
      </c>
      <c r="Q122" s="11">
        <f t="shared" si="26"/>
        <v>26745775</v>
      </c>
      <c r="R122" s="11">
        <f t="shared" si="41"/>
        <v>0</v>
      </c>
      <c r="S122" s="111"/>
      <c r="T122" s="113"/>
      <c r="U122" s="113"/>
      <c r="V122" s="113"/>
      <c r="W122" s="113"/>
      <c r="X122" s="113"/>
      <c r="Y122" s="113"/>
      <c r="Z122" s="113"/>
      <c r="AA122" s="113"/>
    </row>
    <row r="123" spans="1:27" s="70" customFormat="1" x14ac:dyDescent="0.25">
      <c r="A123" s="99" t="s">
        <v>242</v>
      </c>
      <c r="B123" s="1" t="s">
        <v>243</v>
      </c>
      <c r="C123" s="11">
        <v>50000000</v>
      </c>
      <c r="D123" s="11">
        <v>0</v>
      </c>
      <c r="E123" s="11">
        <v>29858484</v>
      </c>
      <c r="F123" s="11">
        <v>20000000</v>
      </c>
      <c r="G123" s="11"/>
      <c r="H123" s="11">
        <v>0</v>
      </c>
      <c r="I123" s="11">
        <v>0</v>
      </c>
      <c r="J123" s="11">
        <f t="shared" si="24"/>
        <v>141516</v>
      </c>
      <c r="K123" s="11">
        <v>141516</v>
      </c>
      <c r="L123" s="10">
        <f t="shared" si="25"/>
        <v>0</v>
      </c>
      <c r="M123" s="11">
        <v>141516</v>
      </c>
      <c r="N123" s="11">
        <v>0</v>
      </c>
      <c r="O123" s="11">
        <v>141516</v>
      </c>
      <c r="P123" s="11">
        <f t="shared" si="40"/>
        <v>0</v>
      </c>
      <c r="Q123" s="11">
        <f t="shared" si="26"/>
        <v>141516</v>
      </c>
      <c r="R123" s="11">
        <f t="shared" si="41"/>
        <v>0</v>
      </c>
      <c r="S123" s="111"/>
      <c r="T123" s="113"/>
      <c r="U123" s="113"/>
      <c r="V123" s="113"/>
      <c r="W123" s="113"/>
      <c r="X123" s="113"/>
      <c r="Y123" s="113"/>
      <c r="Z123" s="113"/>
      <c r="AA123" s="113"/>
    </row>
    <row r="124" spans="1:27" s="70" customFormat="1" x14ac:dyDescent="0.25">
      <c r="A124" s="99" t="s">
        <v>244</v>
      </c>
      <c r="B124" s="1" t="s">
        <v>245</v>
      </c>
      <c r="C124" s="11">
        <v>100000000</v>
      </c>
      <c r="D124" s="11">
        <v>0</v>
      </c>
      <c r="E124" s="11">
        <v>0</v>
      </c>
      <c r="F124" s="11">
        <v>50000000</v>
      </c>
      <c r="G124" s="11"/>
      <c r="H124" s="11">
        <v>0</v>
      </c>
      <c r="I124" s="11">
        <v>0</v>
      </c>
      <c r="J124" s="11">
        <f t="shared" si="24"/>
        <v>50000000</v>
      </c>
      <c r="K124" s="11">
        <v>50000000</v>
      </c>
      <c r="L124" s="10">
        <f t="shared" si="25"/>
        <v>0</v>
      </c>
      <c r="M124" s="11">
        <v>50000000</v>
      </c>
      <c r="N124" s="11">
        <v>0</v>
      </c>
      <c r="O124" s="11">
        <v>50000000</v>
      </c>
      <c r="P124" s="11">
        <f t="shared" si="40"/>
        <v>0</v>
      </c>
      <c r="Q124" s="11">
        <f t="shared" si="26"/>
        <v>50000000</v>
      </c>
      <c r="R124" s="11">
        <f t="shared" si="41"/>
        <v>0</v>
      </c>
      <c r="S124" s="111"/>
      <c r="T124" s="113"/>
      <c r="U124" s="113"/>
      <c r="V124" s="113"/>
      <c r="W124" s="113"/>
      <c r="X124" s="113"/>
      <c r="Y124" s="113"/>
      <c r="Z124" s="113"/>
      <c r="AA124" s="113"/>
    </row>
    <row r="125" spans="1:27" s="183" customFormat="1" x14ac:dyDescent="0.25">
      <c r="A125" s="4" t="s">
        <v>246</v>
      </c>
      <c r="B125" s="5" t="s">
        <v>247</v>
      </c>
      <c r="C125" s="10">
        <f>SUM(C126:C130)</f>
        <v>523367603</v>
      </c>
      <c r="D125" s="10">
        <f>SUM(D126:D130)</f>
        <v>172641817</v>
      </c>
      <c r="E125" s="10">
        <f t="shared" ref="E125:R125" si="42">SUM(E126:E130)</f>
        <v>85271084</v>
      </c>
      <c r="F125" s="10">
        <f t="shared" si="42"/>
        <v>239969945</v>
      </c>
      <c r="G125" s="10">
        <f t="shared" si="42"/>
        <v>0</v>
      </c>
      <c r="H125" s="10">
        <f t="shared" si="42"/>
        <v>0</v>
      </c>
      <c r="I125" s="10">
        <f t="shared" si="42"/>
        <v>0</v>
      </c>
      <c r="J125" s="10">
        <f t="shared" si="42"/>
        <v>370768391</v>
      </c>
      <c r="K125" s="10">
        <f t="shared" si="42"/>
        <v>361902560</v>
      </c>
      <c r="L125" s="10">
        <f t="shared" si="25"/>
        <v>8865831</v>
      </c>
      <c r="M125" s="10">
        <f t="shared" si="42"/>
        <v>361902560</v>
      </c>
      <c r="N125" s="10">
        <f t="shared" si="42"/>
        <v>200401</v>
      </c>
      <c r="O125" s="10">
        <f t="shared" si="42"/>
        <v>361911248</v>
      </c>
      <c r="P125" s="10">
        <f t="shared" si="42"/>
        <v>8857143</v>
      </c>
      <c r="Q125" s="10">
        <f t="shared" si="42"/>
        <v>361902560</v>
      </c>
      <c r="R125" s="10">
        <f t="shared" si="42"/>
        <v>0</v>
      </c>
      <c r="S125" s="111"/>
      <c r="T125" s="113"/>
      <c r="U125" s="113"/>
      <c r="V125" s="113"/>
      <c r="W125" s="113"/>
      <c r="X125" s="113"/>
      <c r="Y125" s="113"/>
      <c r="Z125" s="113"/>
      <c r="AA125" s="113"/>
    </row>
    <row r="126" spans="1:27" s="70" customFormat="1" x14ac:dyDescent="0.25">
      <c r="A126" s="99" t="s">
        <v>248</v>
      </c>
      <c r="B126" s="1" t="s">
        <v>249</v>
      </c>
      <c r="C126" s="11">
        <v>260000000</v>
      </c>
      <c r="D126" s="11">
        <v>0</v>
      </c>
      <c r="E126" s="11">
        <v>69529104</v>
      </c>
      <c r="F126" s="11">
        <v>189969945</v>
      </c>
      <c r="G126" s="11"/>
      <c r="H126" s="11">
        <v>0</v>
      </c>
      <c r="I126" s="11">
        <v>0</v>
      </c>
      <c r="J126" s="11">
        <f t="shared" si="24"/>
        <v>500951</v>
      </c>
      <c r="K126" s="11">
        <v>500951</v>
      </c>
      <c r="L126" s="10">
        <f t="shared" si="25"/>
        <v>0</v>
      </c>
      <c r="M126" s="11">
        <v>500951</v>
      </c>
      <c r="N126" s="11">
        <v>196401</v>
      </c>
      <c r="O126" s="11">
        <v>500951</v>
      </c>
      <c r="P126" s="11">
        <f>+J126-O126</f>
        <v>0</v>
      </c>
      <c r="Q126" s="11">
        <f t="shared" si="26"/>
        <v>500951</v>
      </c>
      <c r="R126" s="11">
        <f>+K126-M126</f>
        <v>0</v>
      </c>
      <c r="S126" s="111"/>
      <c r="T126" s="113"/>
      <c r="U126" s="113"/>
      <c r="V126" s="113"/>
      <c r="W126" s="113"/>
      <c r="X126" s="113"/>
      <c r="Y126" s="113"/>
      <c r="Z126" s="113"/>
      <c r="AA126" s="113"/>
    </row>
    <row r="127" spans="1:27" s="70" customFormat="1" x14ac:dyDescent="0.25">
      <c r="A127" s="99" t="s">
        <v>250</v>
      </c>
      <c r="B127" s="1" t="s">
        <v>251</v>
      </c>
      <c r="C127" s="11">
        <v>54000000</v>
      </c>
      <c r="D127" s="11">
        <v>0</v>
      </c>
      <c r="E127" s="11">
        <v>15741980</v>
      </c>
      <c r="F127" s="11">
        <v>0</v>
      </c>
      <c r="G127" s="11"/>
      <c r="H127" s="11">
        <v>0</v>
      </c>
      <c r="I127" s="11">
        <v>0</v>
      </c>
      <c r="J127" s="11">
        <f t="shared" si="24"/>
        <v>38258020</v>
      </c>
      <c r="K127" s="11">
        <v>38258020</v>
      </c>
      <c r="L127" s="10">
        <f t="shared" si="25"/>
        <v>0</v>
      </c>
      <c r="M127" s="11">
        <v>38258020</v>
      </c>
      <c r="N127" s="11">
        <v>0</v>
      </c>
      <c r="O127" s="11">
        <v>38258020</v>
      </c>
      <c r="P127" s="11">
        <f>+J127-O127</f>
        <v>0</v>
      </c>
      <c r="Q127" s="11">
        <f t="shared" si="26"/>
        <v>38258020</v>
      </c>
      <c r="R127" s="11">
        <f>+K127-M127</f>
        <v>0</v>
      </c>
      <c r="S127" s="111"/>
      <c r="T127" s="113"/>
      <c r="U127" s="113"/>
      <c r="V127" s="113"/>
      <c r="W127" s="113"/>
      <c r="X127" s="113"/>
      <c r="Y127" s="113"/>
      <c r="Z127" s="113"/>
      <c r="AA127" s="113"/>
    </row>
    <row r="128" spans="1:27" s="70" customFormat="1" x14ac:dyDescent="0.25">
      <c r="A128" s="99" t="s">
        <v>252</v>
      </c>
      <c r="B128" s="1" t="s">
        <v>253</v>
      </c>
      <c r="C128" s="11">
        <v>195927603</v>
      </c>
      <c r="D128" s="11">
        <v>172641817</v>
      </c>
      <c r="E128" s="11">
        <v>0</v>
      </c>
      <c r="F128" s="11">
        <v>50000000</v>
      </c>
      <c r="G128" s="11"/>
      <c r="H128" s="11">
        <v>0</v>
      </c>
      <c r="I128" s="11">
        <v>0</v>
      </c>
      <c r="J128" s="11">
        <f t="shared" si="24"/>
        <v>318569420</v>
      </c>
      <c r="K128" s="11">
        <v>315488243</v>
      </c>
      <c r="L128" s="10">
        <f t="shared" si="25"/>
        <v>3081177</v>
      </c>
      <c r="M128" s="11">
        <v>315488243</v>
      </c>
      <c r="N128" s="11">
        <v>0</v>
      </c>
      <c r="O128" s="11">
        <v>315488243</v>
      </c>
      <c r="P128" s="11">
        <f>+J128-O128</f>
        <v>3081177</v>
      </c>
      <c r="Q128" s="11">
        <f t="shared" si="26"/>
        <v>315488243</v>
      </c>
      <c r="R128" s="11">
        <f>+K128-M128</f>
        <v>0</v>
      </c>
      <c r="S128" s="111"/>
      <c r="T128" s="113"/>
      <c r="U128" s="113"/>
      <c r="V128" s="113"/>
      <c r="W128" s="113"/>
      <c r="X128" s="113"/>
      <c r="Y128" s="113"/>
      <c r="Z128" s="113"/>
      <c r="AA128" s="113"/>
    </row>
    <row r="129" spans="1:27" s="70" customFormat="1" x14ac:dyDescent="0.25">
      <c r="A129" s="99" t="s">
        <v>254</v>
      </c>
      <c r="B129" s="1" t="s">
        <v>255</v>
      </c>
      <c r="C129" s="11">
        <v>6720000</v>
      </c>
      <c r="D129" s="11">
        <v>0</v>
      </c>
      <c r="E129" s="11">
        <v>0</v>
      </c>
      <c r="F129" s="11">
        <v>0</v>
      </c>
      <c r="G129" s="11"/>
      <c r="H129" s="11">
        <v>0</v>
      </c>
      <c r="I129" s="11">
        <v>0</v>
      </c>
      <c r="J129" s="11">
        <f t="shared" si="24"/>
        <v>6720000</v>
      </c>
      <c r="K129" s="11">
        <v>944034</v>
      </c>
      <c r="L129" s="10">
        <f t="shared" si="25"/>
        <v>5775966</v>
      </c>
      <c r="M129" s="11">
        <v>944034</v>
      </c>
      <c r="N129" s="11">
        <v>0</v>
      </c>
      <c r="O129" s="11">
        <v>944034</v>
      </c>
      <c r="P129" s="11">
        <f>+J129-O129</f>
        <v>5775966</v>
      </c>
      <c r="Q129" s="11">
        <f t="shared" si="26"/>
        <v>944034</v>
      </c>
      <c r="R129" s="11">
        <f>+K129-M129</f>
        <v>0</v>
      </c>
      <c r="S129" s="111"/>
      <c r="T129" s="113"/>
      <c r="U129" s="113"/>
      <c r="V129" s="113"/>
      <c r="W129" s="113"/>
      <c r="X129" s="113"/>
      <c r="Y129" s="113"/>
      <c r="Z129" s="113"/>
      <c r="AA129" s="113"/>
    </row>
    <row r="130" spans="1:27" s="70" customFormat="1" x14ac:dyDescent="0.25">
      <c r="A130" s="99" t="s">
        <v>256</v>
      </c>
      <c r="B130" s="1" t="s">
        <v>257</v>
      </c>
      <c r="C130" s="11">
        <v>6720000</v>
      </c>
      <c r="D130" s="11">
        <v>0</v>
      </c>
      <c r="E130" s="11">
        <v>0</v>
      </c>
      <c r="F130" s="11">
        <v>0</v>
      </c>
      <c r="G130" s="11"/>
      <c r="H130" s="11">
        <v>0</v>
      </c>
      <c r="I130" s="11">
        <v>0</v>
      </c>
      <c r="J130" s="11">
        <f t="shared" si="24"/>
        <v>6720000</v>
      </c>
      <c r="K130" s="11">
        <v>6711312</v>
      </c>
      <c r="L130" s="10">
        <f t="shared" si="25"/>
        <v>8688</v>
      </c>
      <c r="M130" s="11">
        <v>6711312</v>
      </c>
      <c r="N130" s="11">
        <v>4000</v>
      </c>
      <c r="O130" s="11">
        <v>6720000</v>
      </c>
      <c r="P130" s="11">
        <f>+J130-O130</f>
        <v>0</v>
      </c>
      <c r="Q130" s="11">
        <f t="shared" si="26"/>
        <v>6711312</v>
      </c>
      <c r="R130" s="11">
        <f>+K130-M130</f>
        <v>0</v>
      </c>
      <c r="S130" s="111"/>
      <c r="T130" s="113"/>
      <c r="U130" s="113"/>
      <c r="V130" s="113"/>
      <c r="W130" s="113"/>
      <c r="X130" s="113"/>
      <c r="Y130" s="113"/>
      <c r="Z130" s="113"/>
      <c r="AA130" s="113"/>
    </row>
    <row r="131" spans="1:27" s="183" customFormat="1" x14ac:dyDescent="0.25">
      <c r="A131" s="4" t="s">
        <v>258</v>
      </c>
      <c r="B131" s="5" t="s">
        <v>259</v>
      </c>
      <c r="C131" s="10">
        <f>SUM(C132:C134)</f>
        <v>75000000</v>
      </c>
      <c r="D131" s="10">
        <f>SUM(D132:D134)</f>
        <v>0</v>
      </c>
      <c r="E131" s="10">
        <f t="shared" ref="E131:R131" si="43">SUM(E132:E134)</f>
        <v>45000000</v>
      </c>
      <c r="F131" s="10">
        <f t="shared" si="43"/>
        <v>30000000</v>
      </c>
      <c r="G131" s="10">
        <f t="shared" si="43"/>
        <v>0</v>
      </c>
      <c r="H131" s="10">
        <f t="shared" si="43"/>
        <v>0</v>
      </c>
      <c r="I131" s="10">
        <f t="shared" si="43"/>
        <v>0</v>
      </c>
      <c r="J131" s="10">
        <f t="shared" si="43"/>
        <v>0</v>
      </c>
      <c r="K131" s="10">
        <f t="shared" si="43"/>
        <v>0</v>
      </c>
      <c r="L131" s="10">
        <f t="shared" si="25"/>
        <v>0</v>
      </c>
      <c r="M131" s="10">
        <f t="shared" si="43"/>
        <v>0</v>
      </c>
      <c r="N131" s="10">
        <f t="shared" si="43"/>
        <v>0</v>
      </c>
      <c r="O131" s="10">
        <f t="shared" si="43"/>
        <v>0</v>
      </c>
      <c r="P131" s="10">
        <f t="shared" si="43"/>
        <v>0</v>
      </c>
      <c r="Q131" s="10">
        <f t="shared" si="43"/>
        <v>0</v>
      </c>
      <c r="R131" s="10">
        <f t="shared" si="43"/>
        <v>0</v>
      </c>
      <c r="S131" s="111"/>
      <c r="T131" s="113"/>
      <c r="U131" s="113"/>
      <c r="V131" s="113"/>
      <c r="W131" s="113"/>
      <c r="X131" s="113"/>
      <c r="Y131" s="113"/>
      <c r="Z131" s="113"/>
      <c r="AA131" s="113"/>
    </row>
    <row r="132" spans="1:27" s="70" customFormat="1" x14ac:dyDescent="0.25">
      <c r="A132" s="99" t="s">
        <v>260</v>
      </c>
      <c r="B132" s="1" t="s">
        <v>261</v>
      </c>
      <c r="C132" s="11">
        <v>15000000</v>
      </c>
      <c r="D132" s="11">
        <v>0</v>
      </c>
      <c r="E132" s="11">
        <v>0</v>
      </c>
      <c r="F132" s="11">
        <v>15000000</v>
      </c>
      <c r="G132" s="11"/>
      <c r="H132" s="11">
        <v>0</v>
      </c>
      <c r="I132" s="11">
        <v>0</v>
      </c>
      <c r="J132" s="11">
        <f t="shared" ref="J132:J170" si="44">+C132+D132-E132-F132+G132-H132+I132</f>
        <v>0</v>
      </c>
      <c r="K132" s="11">
        <v>0</v>
      </c>
      <c r="L132" s="10">
        <f t="shared" si="25"/>
        <v>0</v>
      </c>
      <c r="M132" s="11">
        <v>0</v>
      </c>
      <c r="N132" s="11">
        <v>0</v>
      </c>
      <c r="O132" s="11">
        <v>0</v>
      </c>
      <c r="P132" s="11">
        <f>+J132-O132</f>
        <v>0</v>
      </c>
      <c r="Q132" s="11">
        <f>+M132</f>
        <v>0</v>
      </c>
      <c r="R132" s="11">
        <f>+K132-M132</f>
        <v>0</v>
      </c>
      <c r="S132" s="111"/>
      <c r="T132" s="113"/>
      <c r="U132" s="113"/>
      <c r="V132" s="113"/>
      <c r="W132" s="113"/>
      <c r="X132" s="113"/>
      <c r="Y132" s="113"/>
      <c r="Z132" s="113"/>
      <c r="AA132" s="113"/>
    </row>
    <row r="133" spans="1:27" s="70" customFormat="1" x14ac:dyDescent="0.25">
      <c r="A133" s="99" t="s">
        <v>262</v>
      </c>
      <c r="B133" s="1" t="s">
        <v>263</v>
      </c>
      <c r="C133" s="11">
        <v>30000000</v>
      </c>
      <c r="D133" s="11">
        <v>0</v>
      </c>
      <c r="E133" s="11">
        <v>30000000</v>
      </c>
      <c r="F133" s="11">
        <v>0</v>
      </c>
      <c r="G133" s="11"/>
      <c r="H133" s="11">
        <v>0</v>
      </c>
      <c r="I133" s="11">
        <v>0</v>
      </c>
      <c r="J133" s="11">
        <f t="shared" si="44"/>
        <v>0</v>
      </c>
      <c r="K133" s="11">
        <v>0</v>
      </c>
      <c r="L133" s="10">
        <f t="shared" si="25"/>
        <v>0</v>
      </c>
      <c r="M133" s="11">
        <v>0</v>
      </c>
      <c r="N133" s="11">
        <v>0</v>
      </c>
      <c r="O133" s="11">
        <v>0</v>
      </c>
      <c r="P133" s="11">
        <f>+J133-O133</f>
        <v>0</v>
      </c>
      <c r="Q133" s="11">
        <f>+M133</f>
        <v>0</v>
      </c>
      <c r="R133" s="11">
        <f>+K133-M133</f>
        <v>0</v>
      </c>
      <c r="S133" s="111"/>
      <c r="T133" s="113"/>
      <c r="U133" s="113"/>
      <c r="V133" s="113"/>
      <c r="W133" s="113"/>
      <c r="X133" s="113"/>
      <c r="Y133" s="113"/>
      <c r="Z133" s="113"/>
      <c r="AA133" s="113"/>
    </row>
    <row r="134" spans="1:27" s="70" customFormat="1" x14ac:dyDescent="0.25">
      <c r="A134" s="99" t="s">
        <v>264</v>
      </c>
      <c r="B134" s="1" t="s">
        <v>265</v>
      </c>
      <c r="C134" s="11">
        <v>30000000</v>
      </c>
      <c r="D134" s="11">
        <v>0</v>
      </c>
      <c r="E134" s="11">
        <v>15000000</v>
      </c>
      <c r="F134" s="11">
        <v>15000000</v>
      </c>
      <c r="G134" s="11"/>
      <c r="H134" s="11">
        <v>0</v>
      </c>
      <c r="I134" s="11">
        <v>0</v>
      </c>
      <c r="J134" s="11">
        <f t="shared" si="44"/>
        <v>0</v>
      </c>
      <c r="K134" s="11">
        <v>0</v>
      </c>
      <c r="L134" s="10">
        <f t="shared" ref="L134:L197" si="45">+J134-K134</f>
        <v>0</v>
      </c>
      <c r="M134" s="11">
        <v>0</v>
      </c>
      <c r="N134" s="11">
        <v>0</v>
      </c>
      <c r="O134" s="11">
        <v>0</v>
      </c>
      <c r="P134" s="11">
        <f>+J134-O134</f>
        <v>0</v>
      </c>
      <c r="Q134" s="11">
        <f>+M134</f>
        <v>0</v>
      </c>
      <c r="R134" s="11">
        <f>+K134-M134</f>
        <v>0</v>
      </c>
      <c r="S134" s="111"/>
      <c r="T134" s="113"/>
      <c r="U134" s="113"/>
      <c r="V134" s="113"/>
      <c r="W134" s="113"/>
      <c r="X134" s="113"/>
      <c r="Y134" s="113"/>
      <c r="Z134" s="113"/>
      <c r="AA134" s="113"/>
    </row>
    <row r="135" spans="1:27" s="183" customFormat="1" x14ac:dyDescent="0.25">
      <c r="A135" s="4" t="s">
        <v>266</v>
      </c>
      <c r="B135" s="5" t="s">
        <v>267</v>
      </c>
      <c r="C135" s="10">
        <f>+C136+C137+C138+C139+C159+C160+C161+C162+C163+C164+C165+C166+C167</f>
        <v>40010000</v>
      </c>
      <c r="D135" s="10">
        <f>+D136+D137+D138+D139+D159+D160+D161+D162+D163+D164+D165+D166+D167</f>
        <v>106421350</v>
      </c>
      <c r="E135" s="10">
        <f t="shared" ref="E135:R135" si="46">+E136+E137+E138+E139+E159+E160+E161+E162+E163+E164+E165+E166+E167</f>
        <v>0</v>
      </c>
      <c r="F135" s="10">
        <f t="shared" si="46"/>
        <v>15153500</v>
      </c>
      <c r="G135" s="10">
        <f t="shared" si="46"/>
        <v>0</v>
      </c>
      <c r="H135" s="10">
        <f t="shared" si="46"/>
        <v>0</v>
      </c>
      <c r="I135" s="10">
        <f t="shared" si="46"/>
        <v>8192175069.0099993</v>
      </c>
      <c r="J135" s="10">
        <f t="shared" si="46"/>
        <v>8323452919.0099993</v>
      </c>
      <c r="K135" s="10">
        <f t="shared" si="46"/>
        <v>1472994777</v>
      </c>
      <c r="L135" s="10">
        <f t="shared" si="45"/>
        <v>6850458142.0099993</v>
      </c>
      <c r="M135" s="10">
        <f t="shared" si="46"/>
        <v>1387923577</v>
      </c>
      <c r="N135" s="10">
        <f t="shared" si="46"/>
        <v>243946278</v>
      </c>
      <c r="O135" s="10">
        <f t="shared" si="46"/>
        <v>1560604390</v>
      </c>
      <c r="P135" s="10">
        <f t="shared" si="46"/>
        <v>6762848529.0099993</v>
      </c>
      <c r="Q135" s="10">
        <f t="shared" si="46"/>
        <v>1387923577</v>
      </c>
      <c r="R135" s="10">
        <f t="shared" si="46"/>
        <v>85071200</v>
      </c>
      <c r="S135" s="111"/>
      <c r="T135" s="113"/>
      <c r="U135" s="113"/>
      <c r="V135" s="113"/>
      <c r="W135" s="113"/>
      <c r="X135" s="113"/>
      <c r="Y135" s="113"/>
      <c r="Z135" s="113"/>
      <c r="AA135" s="113"/>
    </row>
    <row r="136" spans="1:27" s="70" customFormat="1" x14ac:dyDescent="0.25">
      <c r="A136" s="99" t="s">
        <v>268</v>
      </c>
      <c r="B136" s="1" t="s">
        <v>269</v>
      </c>
      <c r="C136" s="11">
        <v>1000</v>
      </c>
      <c r="D136" s="11">
        <v>0</v>
      </c>
      <c r="E136" s="11">
        <v>0</v>
      </c>
      <c r="F136" s="11">
        <v>0</v>
      </c>
      <c r="G136" s="11"/>
      <c r="H136" s="11">
        <v>0</v>
      </c>
      <c r="I136" s="11">
        <v>0</v>
      </c>
      <c r="J136" s="11">
        <f t="shared" si="44"/>
        <v>1000</v>
      </c>
      <c r="K136" s="11">
        <v>0</v>
      </c>
      <c r="L136" s="10">
        <f t="shared" si="45"/>
        <v>1000</v>
      </c>
      <c r="M136" s="11">
        <v>0</v>
      </c>
      <c r="N136" s="11">
        <v>0</v>
      </c>
      <c r="O136" s="11">
        <v>0</v>
      </c>
      <c r="P136" s="11">
        <f>+J136-O136</f>
        <v>1000</v>
      </c>
      <c r="Q136" s="11">
        <f>+M136</f>
        <v>0</v>
      </c>
      <c r="R136" s="11">
        <f>+K136-M136</f>
        <v>0</v>
      </c>
      <c r="S136" s="111"/>
      <c r="T136" s="113"/>
      <c r="U136" s="113"/>
      <c r="V136" s="113"/>
      <c r="W136" s="113"/>
      <c r="X136" s="113"/>
      <c r="Y136" s="113"/>
      <c r="Z136" s="113"/>
      <c r="AA136" s="113"/>
    </row>
    <row r="137" spans="1:27" s="70" customFormat="1" x14ac:dyDescent="0.25">
      <c r="A137" s="99" t="s">
        <v>270</v>
      </c>
      <c r="B137" s="1" t="s">
        <v>271</v>
      </c>
      <c r="C137" s="11">
        <v>1000</v>
      </c>
      <c r="D137" s="11">
        <v>0</v>
      </c>
      <c r="E137" s="11">
        <v>0</v>
      </c>
      <c r="F137" s="11">
        <v>0</v>
      </c>
      <c r="G137" s="11"/>
      <c r="H137" s="11">
        <v>0</v>
      </c>
      <c r="I137" s="11">
        <v>0</v>
      </c>
      <c r="J137" s="11">
        <f t="shared" si="44"/>
        <v>1000</v>
      </c>
      <c r="K137" s="11">
        <v>0</v>
      </c>
      <c r="L137" s="10">
        <f t="shared" si="45"/>
        <v>1000</v>
      </c>
      <c r="M137" s="11">
        <v>0</v>
      </c>
      <c r="N137" s="11">
        <v>0</v>
      </c>
      <c r="O137" s="11">
        <v>0</v>
      </c>
      <c r="P137" s="11">
        <f>+J137-O137</f>
        <v>1000</v>
      </c>
      <c r="Q137" s="11">
        <f>+M137</f>
        <v>0</v>
      </c>
      <c r="R137" s="11">
        <f>+K137-M137</f>
        <v>0</v>
      </c>
      <c r="S137" s="111"/>
      <c r="T137" s="113"/>
      <c r="U137" s="113"/>
      <c r="V137" s="113"/>
      <c r="W137" s="113"/>
      <c r="X137" s="113"/>
      <c r="Y137" s="113"/>
      <c r="Z137" s="113"/>
      <c r="AA137" s="113"/>
    </row>
    <row r="138" spans="1:27" s="70" customFormat="1" x14ac:dyDescent="0.25">
      <c r="A138" s="99" t="s">
        <v>272</v>
      </c>
      <c r="B138" s="1" t="s">
        <v>273</v>
      </c>
      <c r="C138" s="11">
        <v>1000</v>
      </c>
      <c r="D138" s="11">
        <v>0</v>
      </c>
      <c r="E138" s="11">
        <v>0</v>
      </c>
      <c r="F138" s="11">
        <v>0</v>
      </c>
      <c r="G138" s="11"/>
      <c r="H138" s="11">
        <v>0</v>
      </c>
      <c r="I138" s="11">
        <v>0</v>
      </c>
      <c r="J138" s="11">
        <f t="shared" si="44"/>
        <v>1000</v>
      </c>
      <c r="K138" s="11">
        <v>0</v>
      </c>
      <c r="L138" s="10">
        <f t="shared" si="45"/>
        <v>1000</v>
      </c>
      <c r="M138" s="11">
        <v>0</v>
      </c>
      <c r="N138" s="11">
        <v>0</v>
      </c>
      <c r="O138" s="11">
        <v>0</v>
      </c>
      <c r="P138" s="11">
        <f>+J138-O138</f>
        <v>1000</v>
      </c>
      <c r="Q138" s="11">
        <f>+M138</f>
        <v>0</v>
      </c>
      <c r="R138" s="11">
        <f>+K138-M138</f>
        <v>0</v>
      </c>
      <c r="S138" s="111"/>
      <c r="T138" s="113"/>
      <c r="U138" s="113"/>
      <c r="V138" s="113"/>
      <c r="W138" s="113"/>
      <c r="X138" s="113"/>
      <c r="Y138" s="113"/>
      <c r="Z138" s="113"/>
      <c r="AA138" s="113"/>
    </row>
    <row r="139" spans="1:27" s="183" customFormat="1" x14ac:dyDescent="0.25">
      <c r="A139" s="4" t="s">
        <v>274</v>
      </c>
      <c r="B139" s="5" t="s">
        <v>275</v>
      </c>
      <c r="C139" s="10">
        <f>+C140+C141+C158</f>
        <v>0</v>
      </c>
      <c r="D139" s="10">
        <f t="shared" ref="D139:Q139" si="47">+D140+D141+D158</f>
        <v>0</v>
      </c>
      <c r="E139" s="10">
        <f t="shared" si="47"/>
        <v>0</v>
      </c>
      <c r="F139" s="10">
        <f t="shared" si="47"/>
        <v>0</v>
      </c>
      <c r="G139" s="10">
        <f t="shared" si="47"/>
        <v>0</v>
      </c>
      <c r="H139" s="10">
        <f t="shared" si="47"/>
        <v>0</v>
      </c>
      <c r="I139" s="10">
        <f t="shared" si="47"/>
        <v>8192175069.0099993</v>
      </c>
      <c r="J139" s="10">
        <f t="shared" si="47"/>
        <v>8192175069.0099993</v>
      </c>
      <c r="K139" s="10">
        <f t="shared" si="47"/>
        <v>1357940165</v>
      </c>
      <c r="L139" s="10">
        <f t="shared" si="45"/>
        <v>6834234904.0099993</v>
      </c>
      <c r="M139" s="10">
        <f t="shared" si="47"/>
        <v>1272868965</v>
      </c>
      <c r="N139" s="10">
        <f t="shared" si="47"/>
        <v>243946029</v>
      </c>
      <c r="O139" s="10">
        <f t="shared" si="47"/>
        <v>1443089574</v>
      </c>
      <c r="P139" s="10">
        <f t="shared" si="47"/>
        <v>6749085495.0099993</v>
      </c>
      <c r="Q139" s="10">
        <f t="shared" si="47"/>
        <v>1272868965</v>
      </c>
      <c r="R139" s="10">
        <f>+R140+R141+R158</f>
        <v>85071200</v>
      </c>
      <c r="S139" s="111"/>
      <c r="T139" s="113"/>
      <c r="U139" s="113"/>
      <c r="V139" s="113"/>
      <c r="W139" s="113"/>
      <c r="X139" s="113"/>
      <c r="Y139" s="113"/>
      <c r="Z139" s="113"/>
      <c r="AA139" s="113"/>
    </row>
    <row r="140" spans="1:27" s="70" customFormat="1" x14ac:dyDescent="0.25">
      <c r="A140" s="99" t="s">
        <v>276</v>
      </c>
      <c r="B140" s="1" t="s">
        <v>277</v>
      </c>
      <c r="C140" s="11">
        <v>0</v>
      </c>
      <c r="D140" s="11">
        <v>0</v>
      </c>
      <c r="E140" s="11">
        <v>0</v>
      </c>
      <c r="F140" s="11">
        <v>0</v>
      </c>
      <c r="G140" s="11"/>
      <c r="H140" s="11">
        <v>0</v>
      </c>
      <c r="I140" s="11">
        <v>4663624763.4799995</v>
      </c>
      <c r="J140" s="11">
        <f t="shared" si="44"/>
        <v>4663624763.4799995</v>
      </c>
      <c r="K140" s="11">
        <v>877883</v>
      </c>
      <c r="L140" s="10">
        <f t="shared" si="45"/>
        <v>4662746880.4799995</v>
      </c>
      <c r="M140" s="11">
        <v>877883</v>
      </c>
      <c r="N140" s="11">
        <v>0</v>
      </c>
      <c r="O140" s="11">
        <v>877883</v>
      </c>
      <c r="P140" s="11">
        <f>+J140-O140</f>
        <v>4662746880.4799995</v>
      </c>
      <c r="Q140" s="11">
        <f>+M140</f>
        <v>877883</v>
      </c>
      <c r="R140" s="11">
        <f>+N140</f>
        <v>0</v>
      </c>
      <c r="S140" s="111"/>
      <c r="T140" s="113"/>
      <c r="U140" s="113"/>
      <c r="V140" s="113"/>
      <c r="W140" s="113"/>
      <c r="X140" s="113"/>
      <c r="Y140" s="113"/>
      <c r="Z140" s="113"/>
      <c r="AA140" s="113"/>
    </row>
    <row r="141" spans="1:27" s="183" customFormat="1" x14ac:dyDescent="0.25">
      <c r="A141" s="4" t="s">
        <v>278</v>
      </c>
      <c r="B141" s="5">
        <v>9</v>
      </c>
      <c r="C141" s="10">
        <f>SUM(C142:C157)</f>
        <v>0</v>
      </c>
      <c r="D141" s="10">
        <f>SUM(D142:D157)</f>
        <v>0</v>
      </c>
      <c r="E141" s="10">
        <f t="shared" ref="E141:Q141" si="48">SUM(E142:E157)</f>
        <v>0</v>
      </c>
      <c r="F141" s="10">
        <f t="shared" si="48"/>
        <v>0</v>
      </c>
      <c r="G141" s="10">
        <f t="shared" si="48"/>
        <v>0</v>
      </c>
      <c r="H141" s="10">
        <f t="shared" si="48"/>
        <v>0</v>
      </c>
      <c r="I141" s="10">
        <f t="shared" si="48"/>
        <v>2070587661</v>
      </c>
      <c r="J141" s="10">
        <f t="shared" si="48"/>
        <v>2070587661</v>
      </c>
      <c r="K141" s="10">
        <f t="shared" si="48"/>
        <v>1357062282</v>
      </c>
      <c r="L141" s="10">
        <f t="shared" si="45"/>
        <v>713525379</v>
      </c>
      <c r="M141" s="10">
        <f t="shared" si="48"/>
        <v>1271991082</v>
      </c>
      <c r="N141" s="10">
        <f t="shared" si="48"/>
        <v>243946029</v>
      </c>
      <c r="O141" s="10">
        <f t="shared" si="48"/>
        <v>1442211691</v>
      </c>
      <c r="P141" s="10">
        <f t="shared" si="48"/>
        <v>628375970</v>
      </c>
      <c r="Q141" s="10">
        <f t="shared" si="48"/>
        <v>1271991082</v>
      </c>
      <c r="R141" s="10">
        <f>SUM(R142:R157)</f>
        <v>85071200</v>
      </c>
      <c r="S141" s="111"/>
      <c r="T141" s="113"/>
      <c r="U141" s="113"/>
      <c r="V141" s="113"/>
      <c r="W141" s="113"/>
      <c r="X141" s="113"/>
      <c r="Y141" s="113"/>
      <c r="Z141" s="113"/>
      <c r="AA141" s="113"/>
    </row>
    <row r="142" spans="1:27" s="70" customFormat="1" x14ac:dyDescent="0.25">
      <c r="A142" s="99" t="s">
        <v>280</v>
      </c>
      <c r="B142" s="1" t="s">
        <v>281</v>
      </c>
      <c r="C142" s="11">
        <v>0</v>
      </c>
      <c r="D142" s="11">
        <v>0</v>
      </c>
      <c r="E142" s="11">
        <v>0</v>
      </c>
      <c r="F142" s="11">
        <v>0</v>
      </c>
      <c r="G142" s="11"/>
      <c r="H142" s="11">
        <v>0</v>
      </c>
      <c r="I142" s="11">
        <v>121500000</v>
      </c>
      <c r="J142" s="11">
        <f t="shared" si="44"/>
        <v>121500000</v>
      </c>
      <c r="K142" s="11">
        <f>121087795-36195304</f>
        <v>84892491</v>
      </c>
      <c r="L142" s="10">
        <f t="shared" si="45"/>
        <v>36607509</v>
      </c>
      <c r="M142" s="11">
        <v>84892491</v>
      </c>
      <c r="N142" s="11">
        <v>71195304</v>
      </c>
      <c r="O142" s="11">
        <v>121087795</v>
      </c>
      <c r="P142" s="11">
        <f t="shared" ref="P142:P167" si="49">+J142-O142</f>
        <v>412205</v>
      </c>
      <c r="Q142" s="11">
        <f t="shared" ref="Q142:Q167" si="50">+M142</f>
        <v>84892491</v>
      </c>
      <c r="R142" s="11">
        <f t="shared" ref="R142:R167" si="51">+K142-M142</f>
        <v>0</v>
      </c>
      <c r="S142" s="111"/>
      <c r="T142" s="113"/>
      <c r="U142" s="113"/>
      <c r="V142" s="113"/>
      <c r="W142" s="113"/>
      <c r="X142" s="113"/>
      <c r="Y142" s="113"/>
      <c r="Z142" s="113"/>
      <c r="AA142" s="113"/>
    </row>
    <row r="143" spans="1:27" s="70" customFormat="1" x14ac:dyDescent="0.25">
      <c r="A143" s="99" t="s">
        <v>282</v>
      </c>
      <c r="B143" s="1" t="s">
        <v>251</v>
      </c>
      <c r="C143" s="11">
        <v>0</v>
      </c>
      <c r="D143" s="11">
        <v>0</v>
      </c>
      <c r="E143" s="11">
        <v>0</v>
      </c>
      <c r="F143" s="11">
        <v>0</v>
      </c>
      <c r="G143" s="11"/>
      <c r="H143" s="11">
        <v>0</v>
      </c>
      <c r="I143" s="11">
        <v>63000000</v>
      </c>
      <c r="J143" s="11">
        <f t="shared" si="44"/>
        <v>63000000</v>
      </c>
      <c r="K143" s="11">
        <v>62488472</v>
      </c>
      <c r="L143" s="10">
        <f t="shared" si="45"/>
        <v>511528</v>
      </c>
      <c r="M143" s="11">
        <v>62488472</v>
      </c>
      <c r="N143" s="11">
        <v>393</v>
      </c>
      <c r="O143" s="11">
        <v>62488472</v>
      </c>
      <c r="P143" s="11">
        <f t="shared" si="49"/>
        <v>511528</v>
      </c>
      <c r="Q143" s="11">
        <f t="shared" si="50"/>
        <v>62488472</v>
      </c>
      <c r="R143" s="11">
        <f t="shared" si="51"/>
        <v>0</v>
      </c>
      <c r="S143" s="111"/>
      <c r="T143" s="113"/>
      <c r="U143" s="113"/>
      <c r="V143" s="113"/>
      <c r="W143" s="113"/>
      <c r="X143" s="113"/>
      <c r="Y143" s="113"/>
      <c r="Z143" s="113"/>
      <c r="AA143" s="113"/>
    </row>
    <row r="144" spans="1:27" s="70" customFormat="1" x14ac:dyDescent="0.25">
      <c r="A144" s="99" t="s">
        <v>283</v>
      </c>
      <c r="B144" s="1" t="s">
        <v>284</v>
      </c>
      <c r="C144" s="11">
        <v>0</v>
      </c>
      <c r="D144" s="11">
        <v>0</v>
      </c>
      <c r="E144" s="11">
        <v>0</v>
      </c>
      <c r="F144" s="11">
        <v>0</v>
      </c>
      <c r="G144" s="11"/>
      <c r="H144" s="11">
        <v>0</v>
      </c>
      <c r="I144" s="11">
        <v>20000000</v>
      </c>
      <c r="J144" s="11">
        <f t="shared" si="44"/>
        <v>20000000</v>
      </c>
      <c r="K144" s="11">
        <v>19826999</v>
      </c>
      <c r="L144" s="10">
        <f t="shared" si="45"/>
        <v>173001</v>
      </c>
      <c r="M144" s="11">
        <v>19826999</v>
      </c>
      <c r="N144" s="11">
        <v>0</v>
      </c>
      <c r="O144" s="11">
        <v>19984000</v>
      </c>
      <c r="P144" s="11">
        <f t="shared" si="49"/>
        <v>16000</v>
      </c>
      <c r="Q144" s="11">
        <f t="shared" si="50"/>
        <v>19826999</v>
      </c>
      <c r="R144" s="11">
        <f t="shared" si="51"/>
        <v>0</v>
      </c>
      <c r="S144" s="111"/>
      <c r="T144" s="113"/>
      <c r="U144" s="113"/>
      <c r="V144" s="113"/>
      <c r="W144" s="113"/>
      <c r="X144" s="113"/>
      <c r="Y144" s="113"/>
      <c r="Z144" s="113"/>
      <c r="AA144" s="113"/>
    </row>
    <row r="145" spans="1:27" s="70" customFormat="1" x14ac:dyDescent="0.25">
      <c r="A145" s="99" t="s">
        <v>285</v>
      </c>
      <c r="B145" s="1" t="s">
        <v>286</v>
      </c>
      <c r="C145" s="11">
        <v>0</v>
      </c>
      <c r="D145" s="11">
        <v>0</v>
      </c>
      <c r="E145" s="11">
        <v>0</v>
      </c>
      <c r="F145" s="11">
        <v>0</v>
      </c>
      <c r="G145" s="11"/>
      <c r="H145" s="11">
        <v>0</v>
      </c>
      <c r="I145" s="11">
        <v>71400000</v>
      </c>
      <c r="J145" s="11">
        <f t="shared" si="44"/>
        <v>71400000</v>
      </c>
      <c r="K145" s="11">
        <v>70928554</v>
      </c>
      <c r="L145" s="10">
        <f t="shared" si="45"/>
        <v>471446</v>
      </c>
      <c r="M145" s="11">
        <v>70928554</v>
      </c>
      <c r="N145" s="11">
        <v>70928554</v>
      </c>
      <c r="O145" s="11">
        <v>70928554</v>
      </c>
      <c r="P145" s="11">
        <f t="shared" si="49"/>
        <v>471446</v>
      </c>
      <c r="Q145" s="11">
        <f t="shared" si="50"/>
        <v>70928554</v>
      </c>
      <c r="R145" s="11">
        <f t="shared" si="51"/>
        <v>0</v>
      </c>
      <c r="S145" s="111"/>
      <c r="T145" s="113"/>
      <c r="U145" s="113"/>
      <c r="V145" s="113"/>
      <c r="W145" s="113"/>
      <c r="X145" s="113"/>
      <c r="Y145" s="113"/>
      <c r="Z145" s="113"/>
      <c r="AA145" s="113"/>
    </row>
    <row r="146" spans="1:27" s="70" customFormat="1" x14ac:dyDescent="0.25">
      <c r="A146" s="99" t="s">
        <v>287</v>
      </c>
      <c r="B146" s="1" t="s">
        <v>288</v>
      </c>
      <c r="C146" s="11">
        <v>0</v>
      </c>
      <c r="D146" s="11">
        <v>0</v>
      </c>
      <c r="E146" s="11">
        <v>0</v>
      </c>
      <c r="F146" s="11">
        <v>0</v>
      </c>
      <c r="G146" s="11"/>
      <c r="H146" s="11">
        <v>0</v>
      </c>
      <c r="I146" s="11">
        <v>135000000</v>
      </c>
      <c r="J146" s="11">
        <f t="shared" si="44"/>
        <v>135000000</v>
      </c>
      <c r="K146" s="11">
        <v>47811500</v>
      </c>
      <c r="L146" s="10">
        <f t="shared" si="45"/>
        <v>87188500</v>
      </c>
      <c r="M146" s="11">
        <f>9978040+1255570</f>
        <v>11233610</v>
      </c>
      <c r="N146" s="11">
        <v>37833460</v>
      </c>
      <c r="O146" s="11">
        <v>55264919</v>
      </c>
      <c r="P146" s="11">
        <f t="shared" si="49"/>
        <v>79735081</v>
      </c>
      <c r="Q146" s="11">
        <f t="shared" si="50"/>
        <v>11233610</v>
      </c>
      <c r="R146" s="11">
        <f t="shared" si="51"/>
        <v>36577890</v>
      </c>
      <c r="S146" s="111"/>
      <c r="T146" s="113"/>
      <c r="U146" s="113"/>
      <c r="V146" s="113"/>
      <c r="W146" s="113"/>
      <c r="X146" s="113"/>
      <c r="Y146" s="113"/>
      <c r="Z146" s="113"/>
      <c r="AA146" s="113"/>
    </row>
    <row r="147" spans="1:27" s="70" customFormat="1" x14ac:dyDescent="0.25">
      <c r="A147" s="99" t="s">
        <v>289</v>
      </c>
      <c r="B147" s="1" t="s">
        <v>290</v>
      </c>
      <c r="C147" s="11">
        <v>0</v>
      </c>
      <c r="D147" s="11">
        <v>0</v>
      </c>
      <c r="E147" s="11">
        <v>0</v>
      </c>
      <c r="F147" s="11">
        <v>0</v>
      </c>
      <c r="G147" s="11"/>
      <c r="H147" s="11">
        <v>0</v>
      </c>
      <c r="I147" s="11">
        <v>149818349</v>
      </c>
      <c r="J147" s="11">
        <f t="shared" si="44"/>
        <v>149818349</v>
      </c>
      <c r="K147" s="11">
        <v>73441310</v>
      </c>
      <c r="L147" s="10">
        <f t="shared" si="45"/>
        <v>76377039</v>
      </c>
      <c r="M147" s="11">
        <v>24948000</v>
      </c>
      <c r="N147" s="11">
        <v>48493310</v>
      </c>
      <c r="O147" s="11">
        <v>75357900</v>
      </c>
      <c r="P147" s="11">
        <f t="shared" si="49"/>
        <v>74460449</v>
      </c>
      <c r="Q147" s="11">
        <f t="shared" si="50"/>
        <v>24948000</v>
      </c>
      <c r="R147" s="11">
        <f t="shared" si="51"/>
        <v>48493310</v>
      </c>
      <c r="S147" s="111"/>
      <c r="T147" s="113"/>
      <c r="U147" s="113"/>
      <c r="V147" s="113"/>
      <c r="W147" s="113"/>
      <c r="X147" s="113"/>
      <c r="Y147" s="113"/>
      <c r="Z147" s="113"/>
      <c r="AA147" s="113"/>
    </row>
    <row r="148" spans="1:27" s="70" customFormat="1" x14ac:dyDescent="0.25">
      <c r="A148" s="99" t="s">
        <v>291</v>
      </c>
      <c r="B148" s="1" t="s">
        <v>292</v>
      </c>
      <c r="C148" s="11">
        <v>0</v>
      </c>
      <c r="D148" s="11">
        <v>0</v>
      </c>
      <c r="E148" s="11">
        <v>0</v>
      </c>
      <c r="F148" s="11">
        <v>0</v>
      </c>
      <c r="G148" s="11"/>
      <c r="H148" s="11">
        <v>0</v>
      </c>
      <c r="I148" s="11">
        <v>50000000</v>
      </c>
      <c r="J148" s="11">
        <f t="shared" si="44"/>
        <v>50000000</v>
      </c>
      <c r="K148" s="11">
        <v>1995789</v>
      </c>
      <c r="L148" s="10">
        <f t="shared" si="45"/>
        <v>48004211</v>
      </c>
      <c r="M148" s="11">
        <v>1995789</v>
      </c>
      <c r="N148" s="11">
        <v>789</v>
      </c>
      <c r="O148" s="11">
        <v>24858310</v>
      </c>
      <c r="P148" s="11">
        <f t="shared" si="49"/>
        <v>25141690</v>
      </c>
      <c r="Q148" s="11">
        <f t="shared" si="50"/>
        <v>1995789</v>
      </c>
      <c r="R148" s="11">
        <f t="shared" si="51"/>
        <v>0</v>
      </c>
      <c r="S148" s="111"/>
      <c r="T148" s="113"/>
      <c r="U148" s="113"/>
      <c r="V148" s="113"/>
      <c r="W148" s="113"/>
      <c r="X148" s="113"/>
      <c r="Y148" s="113"/>
      <c r="Z148" s="113"/>
      <c r="AA148" s="113"/>
    </row>
    <row r="149" spans="1:27" s="70" customFormat="1" x14ac:dyDescent="0.25">
      <c r="A149" s="99" t="s">
        <v>293</v>
      </c>
      <c r="B149" s="1" t="s">
        <v>294</v>
      </c>
      <c r="C149" s="11">
        <v>0</v>
      </c>
      <c r="D149" s="11">
        <v>0</v>
      </c>
      <c r="E149" s="11">
        <v>0</v>
      </c>
      <c r="F149" s="11">
        <v>0</v>
      </c>
      <c r="G149" s="11"/>
      <c r="H149" s="11">
        <v>0</v>
      </c>
      <c r="I149" s="11">
        <v>50000000</v>
      </c>
      <c r="J149" s="11">
        <f t="shared" si="44"/>
        <v>50000000</v>
      </c>
      <c r="K149" s="11">
        <v>48402128</v>
      </c>
      <c r="L149" s="10">
        <f t="shared" si="45"/>
        <v>1597872</v>
      </c>
      <c r="M149" s="11">
        <v>48402128</v>
      </c>
      <c r="N149" s="11">
        <v>0</v>
      </c>
      <c r="O149" s="11">
        <v>49990000</v>
      </c>
      <c r="P149" s="11">
        <f t="shared" si="49"/>
        <v>10000</v>
      </c>
      <c r="Q149" s="11">
        <f t="shared" si="50"/>
        <v>48402128</v>
      </c>
      <c r="R149" s="11">
        <f t="shared" si="51"/>
        <v>0</v>
      </c>
      <c r="S149" s="111"/>
      <c r="T149" s="113"/>
      <c r="U149" s="113"/>
      <c r="V149" s="113"/>
      <c r="W149" s="113"/>
      <c r="X149" s="113"/>
      <c r="Y149" s="113"/>
      <c r="Z149" s="113"/>
      <c r="AA149" s="113"/>
    </row>
    <row r="150" spans="1:27" s="70" customFormat="1" x14ac:dyDescent="0.25">
      <c r="A150" s="99" t="s">
        <v>295</v>
      </c>
      <c r="B150" s="1" t="s">
        <v>296</v>
      </c>
      <c r="C150" s="11">
        <v>0</v>
      </c>
      <c r="D150" s="11">
        <v>0</v>
      </c>
      <c r="E150" s="11">
        <v>0</v>
      </c>
      <c r="F150" s="11">
        <v>0</v>
      </c>
      <c r="G150" s="11"/>
      <c r="H150" s="11">
        <v>0</v>
      </c>
      <c r="I150" s="11">
        <v>100000000</v>
      </c>
      <c r="J150" s="11">
        <f t="shared" si="44"/>
        <v>100000000</v>
      </c>
      <c r="K150" s="11">
        <v>0</v>
      </c>
      <c r="L150" s="10">
        <f t="shared" si="45"/>
        <v>100000000</v>
      </c>
      <c r="M150" s="11">
        <v>0</v>
      </c>
      <c r="N150" s="11">
        <v>0</v>
      </c>
      <c r="O150" s="11">
        <v>0</v>
      </c>
      <c r="P150" s="11">
        <f t="shared" si="49"/>
        <v>100000000</v>
      </c>
      <c r="Q150" s="11">
        <f t="shared" si="50"/>
        <v>0</v>
      </c>
      <c r="R150" s="11">
        <f t="shared" si="51"/>
        <v>0</v>
      </c>
      <c r="S150" s="111"/>
      <c r="T150" s="113"/>
      <c r="U150" s="113"/>
      <c r="V150" s="113"/>
      <c r="W150" s="113"/>
      <c r="X150" s="113"/>
      <c r="Y150" s="113"/>
      <c r="Z150" s="113"/>
      <c r="AA150" s="113"/>
    </row>
    <row r="151" spans="1:27" s="70" customFormat="1" x14ac:dyDescent="0.25">
      <c r="A151" s="99" t="s">
        <v>297</v>
      </c>
      <c r="B151" s="1" t="s">
        <v>298</v>
      </c>
      <c r="C151" s="11">
        <v>0</v>
      </c>
      <c r="D151" s="11">
        <v>0</v>
      </c>
      <c r="E151" s="11">
        <v>0</v>
      </c>
      <c r="F151" s="11">
        <v>0</v>
      </c>
      <c r="G151" s="11"/>
      <c r="H151" s="11">
        <v>0</v>
      </c>
      <c r="I151" s="11">
        <v>15900000</v>
      </c>
      <c r="J151" s="11">
        <f t="shared" si="44"/>
        <v>15900000</v>
      </c>
      <c r="K151" s="11">
        <f>15891529</f>
        <v>15891529</v>
      </c>
      <c r="L151" s="10">
        <f t="shared" si="45"/>
        <v>8471</v>
      </c>
      <c r="M151" s="11">
        <f>15891529</f>
        <v>15891529</v>
      </c>
      <c r="N151" s="11">
        <v>517517</v>
      </c>
      <c r="O151" s="11">
        <v>15891529</v>
      </c>
      <c r="P151" s="11">
        <f t="shared" si="49"/>
        <v>8471</v>
      </c>
      <c r="Q151" s="11">
        <f t="shared" si="50"/>
        <v>15891529</v>
      </c>
      <c r="R151" s="11">
        <f t="shared" si="51"/>
        <v>0</v>
      </c>
      <c r="S151" s="111"/>
      <c r="T151" s="113"/>
      <c r="U151" s="113"/>
      <c r="V151" s="113"/>
      <c r="W151" s="113"/>
      <c r="X151" s="113"/>
      <c r="Y151" s="113"/>
      <c r="Z151" s="113"/>
      <c r="AA151" s="113"/>
    </row>
    <row r="152" spans="1:27" s="70" customFormat="1" x14ac:dyDescent="0.25">
      <c r="A152" s="99" t="s">
        <v>299</v>
      </c>
      <c r="B152" s="1" t="s">
        <v>300</v>
      </c>
      <c r="C152" s="11">
        <v>0</v>
      </c>
      <c r="D152" s="11">
        <v>0</v>
      </c>
      <c r="E152" s="11">
        <v>0</v>
      </c>
      <c r="F152" s="11">
        <v>0</v>
      </c>
      <c r="G152" s="11"/>
      <c r="H152" s="11">
        <v>0</v>
      </c>
      <c r="I152" s="11">
        <v>60000000</v>
      </c>
      <c r="J152" s="11">
        <f t="shared" si="44"/>
        <v>60000000</v>
      </c>
      <c r="K152" s="11">
        <v>59887500</v>
      </c>
      <c r="L152" s="10">
        <f t="shared" si="45"/>
        <v>112500</v>
      </c>
      <c r="M152" s="11">
        <v>59887500</v>
      </c>
      <c r="N152" s="11">
        <v>0</v>
      </c>
      <c r="O152" s="11">
        <v>59887500</v>
      </c>
      <c r="P152" s="11">
        <f t="shared" si="49"/>
        <v>112500</v>
      </c>
      <c r="Q152" s="11">
        <f t="shared" si="50"/>
        <v>59887500</v>
      </c>
      <c r="R152" s="11">
        <f t="shared" si="51"/>
        <v>0</v>
      </c>
      <c r="S152" s="111"/>
      <c r="T152" s="113"/>
      <c r="U152" s="113"/>
      <c r="V152" s="113"/>
      <c r="W152" s="113"/>
      <c r="X152" s="113"/>
      <c r="Y152" s="113"/>
      <c r="Z152" s="113"/>
      <c r="AA152" s="113"/>
    </row>
    <row r="153" spans="1:27" s="70" customFormat="1" x14ac:dyDescent="0.25">
      <c r="A153" s="99" t="s">
        <v>301</v>
      </c>
      <c r="B153" s="1" t="s">
        <v>302</v>
      </c>
      <c r="C153" s="11">
        <v>0</v>
      </c>
      <c r="D153" s="11">
        <v>0</v>
      </c>
      <c r="E153" s="11">
        <v>0</v>
      </c>
      <c r="F153" s="11">
        <v>0</v>
      </c>
      <c r="G153" s="11"/>
      <c r="H153" s="11">
        <v>0</v>
      </c>
      <c r="I153" s="11">
        <v>41100000</v>
      </c>
      <c r="J153" s="11">
        <f t="shared" si="44"/>
        <v>41100000</v>
      </c>
      <c r="K153" s="11">
        <v>36472712</v>
      </c>
      <c r="L153" s="10">
        <f t="shared" si="45"/>
        <v>4627288</v>
      </c>
      <c r="M153" s="11">
        <v>36472712</v>
      </c>
      <c r="N153" s="11">
        <v>0</v>
      </c>
      <c r="O153" s="11">
        <v>36472712</v>
      </c>
      <c r="P153" s="11">
        <f t="shared" si="49"/>
        <v>4627288</v>
      </c>
      <c r="Q153" s="11">
        <f t="shared" si="50"/>
        <v>36472712</v>
      </c>
      <c r="R153" s="11">
        <f t="shared" si="51"/>
        <v>0</v>
      </c>
      <c r="S153" s="111"/>
      <c r="T153" s="113"/>
      <c r="U153" s="113"/>
      <c r="V153" s="113"/>
      <c r="W153" s="113"/>
      <c r="X153" s="113"/>
      <c r="Y153" s="113"/>
      <c r="Z153" s="113"/>
      <c r="AA153" s="113"/>
    </row>
    <row r="154" spans="1:27" s="70" customFormat="1" x14ac:dyDescent="0.25">
      <c r="A154" s="99" t="s">
        <v>303</v>
      </c>
      <c r="B154" s="1" t="s">
        <v>304</v>
      </c>
      <c r="C154" s="11">
        <v>0</v>
      </c>
      <c r="D154" s="11">
        <v>0</v>
      </c>
      <c r="E154" s="11">
        <v>0</v>
      </c>
      <c r="F154" s="11">
        <v>0</v>
      </c>
      <c r="G154" s="11"/>
      <c r="H154" s="11">
        <v>0</v>
      </c>
      <c r="I154" s="11">
        <v>350000000</v>
      </c>
      <c r="J154" s="11">
        <f t="shared" si="44"/>
        <v>350000000</v>
      </c>
      <c r="K154" s="11">
        <f>350000000-14976702</f>
        <v>335023298</v>
      </c>
      <c r="L154" s="10">
        <f t="shared" si="45"/>
        <v>14976702</v>
      </c>
      <c r="M154" s="11">
        <v>335023298</v>
      </c>
      <c r="N154" s="11">
        <v>14976702</v>
      </c>
      <c r="O154" s="11">
        <v>350000000</v>
      </c>
      <c r="P154" s="11">
        <f t="shared" si="49"/>
        <v>0</v>
      </c>
      <c r="Q154" s="11">
        <f t="shared" si="50"/>
        <v>335023298</v>
      </c>
      <c r="R154" s="11">
        <f t="shared" si="51"/>
        <v>0</v>
      </c>
      <c r="S154" s="111"/>
      <c r="T154" s="112"/>
      <c r="U154" s="112"/>
      <c r="V154" s="112"/>
      <c r="W154" s="112"/>
      <c r="X154" s="112"/>
      <c r="Y154" s="112"/>
      <c r="Z154" s="112"/>
      <c r="AA154" s="112"/>
    </row>
    <row r="155" spans="1:27" s="70" customFormat="1" x14ac:dyDescent="0.25">
      <c r="A155" s="99" t="s">
        <v>305</v>
      </c>
      <c r="B155" s="1" t="s">
        <v>306</v>
      </c>
      <c r="C155" s="11">
        <v>0</v>
      </c>
      <c r="D155" s="11">
        <v>0</v>
      </c>
      <c r="E155" s="11">
        <v>0</v>
      </c>
      <c r="F155" s="11">
        <v>0</v>
      </c>
      <c r="G155" s="11"/>
      <c r="H155" s="11">
        <v>0</v>
      </c>
      <c r="I155" s="11">
        <v>500000000</v>
      </c>
      <c r="J155" s="11">
        <f t="shared" si="44"/>
        <v>500000000</v>
      </c>
      <c r="K155" s="11">
        <v>500000000</v>
      </c>
      <c r="L155" s="10">
        <f t="shared" si="45"/>
        <v>0</v>
      </c>
      <c r="M155" s="11">
        <v>500000000</v>
      </c>
      <c r="N155" s="11">
        <v>0</v>
      </c>
      <c r="O155" s="11">
        <v>500000000</v>
      </c>
      <c r="P155" s="11">
        <f t="shared" si="49"/>
        <v>0</v>
      </c>
      <c r="Q155" s="11">
        <f t="shared" si="50"/>
        <v>500000000</v>
      </c>
      <c r="R155" s="11">
        <f t="shared" si="51"/>
        <v>0</v>
      </c>
      <c r="S155" s="111"/>
      <c r="T155" s="112"/>
      <c r="U155" s="112"/>
      <c r="V155" s="112"/>
      <c r="W155" s="112"/>
      <c r="X155" s="112"/>
      <c r="Y155" s="112"/>
      <c r="Z155" s="112"/>
      <c r="AA155" s="112"/>
    </row>
    <row r="156" spans="1:27" s="70" customFormat="1" x14ac:dyDescent="0.25">
      <c r="A156" s="99" t="s">
        <v>307</v>
      </c>
      <c r="B156" s="1" t="s">
        <v>308</v>
      </c>
      <c r="C156" s="11">
        <v>0</v>
      </c>
      <c r="D156" s="11">
        <v>0</v>
      </c>
      <c r="E156" s="11">
        <v>0</v>
      </c>
      <c r="F156" s="11">
        <v>0</v>
      </c>
      <c r="G156" s="11"/>
      <c r="H156" s="11">
        <v>0</v>
      </c>
      <c r="I156" s="11">
        <v>180000000</v>
      </c>
      <c r="J156" s="11">
        <f t="shared" si="44"/>
        <v>180000000</v>
      </c>
      <c r="K156" s="11">
        <v>0</v>
      </c>
      <c r="L156" s="10">
        <f t="shared" si="45"/>
        <v>180000000</v>
      </c>
      <c r="M156" s="11">
        <v>0</v>
      </c>
      <c r="N156" s="11">
        <v>0</v>
      </c>
      <c r="O156" s="11">
        <v>0</v>
      </c>
      <c r="P156" s="11">
        <f t="shared" si="49"/>
        <v>180000000</v>
      </c>
      <c r="Q156" s="11">
        <f t="shared" si="50"/>
        <v>0</v>
      </c>
      <c r="R156" s="11">
        <f t="shared" si="51"/>
        <v>0</v>
      </c>
      <c r="S156" s="111"/>
      <c r="T156" s="113"/>
      <c r="U156" s="113"/>
      <c r="V156" s="113"/>
      <c r="W156" s="113"/>
      <c r="X156" s="113"/>
      <c r="Y156" s="113"/>
      <c r="Z156" s="113"/>
      <c r="AA156" s="113"/>
    </row>
    <row r="157" spans="1:27" s="70" customFormat="1" x14ac:dyDescent="0.25">
      <c r="A157" s="99" t="s">
        <v>309</v>
      </c>
      <c r="B157" s="1" t="s">
        <v>310</v>
      </c>
      <c r="C157" s="11">
        <v>0</v>
      </c>
      <c r="D157" s="11">
        <v>0</v>
      </c>
      <c r="E157" s="11">
        <v>0</v>
      </c>
      <c r="F157" s="11">
        <v>0</v>
      </c>
      <c r="G157" s="11"/>
      <c r="H157" s="11">
        <v>0</v>
      </c>
      <c r="I157" s="11">
        <v>162869312</v>
      </c>
      <c r="J157" s="11">
        <f t="shared" si="44"/>
        <v>162869312</v>
      </c>
      <c r="K157" s="11">
        <v>0</v>
      </c>
      <c r="L157" s="10">
        <f t="shared" si="45"/>
        <v>162869312</v>
      </c>
      <c r="M157" s="11">
        <v>0</v>
      </c>
      <c r="N157" s="11">
        <v>0</v>
      </c>
      <c r="O157" s="11">
        <v>0</v>
      </c>
      <c r="P157" s="11">
        <f t="shared" si="49"/>
        <v>162869312</v>
      </c>
      <c r="Q157" s="11">
        <f t="shared" si="50"/>
        <v>0</v>
      </c>
      <c r="R157" s="11">
        <f t="shared" si="51"/>
        <v>0</v>
      </c>
      <c r="S157" s="111"/>
      <c r="T157" s="113"/>
      <c r="U157" s="113"/>
      <c r="V157" s="113"/>
      <c r="W157" s="113"/>
      <c r="X157" s="113"/>
      <c r="Y157" s="113"/>
      <c r="Z157" s="113"/>
      <c r="AA157" s="113"/>
    </row>
    <row r="158" spans="1:27" s="70" customFormat="1" x14ac:dyDescent="0.25">
      <c r="A158" s="99" t="s">
        <v>311</v>
      </c>
      <c r="B158" s="1" t="s">
        <v>312</v>
      </c>
      <c r="C158" s="11">
        <v>0</v>
      </c>
      <c r="D158" s="11">
        <v>0</v>
      </c>
      <c r="E158" s="11">
        <v>0</v>
      </c>
      <c r="F158" s="11">
        <v>0</v>
      </c>
      <c r="G158" s="11"/>
      <c r="H158" s="11">
        <v>0</v>
      </c>
      <c r="I158" s="11">
        <v>1457962644.53</v>
      </c>
      <c r="J158" s="11">
        <f t="shared" si="44"/>
        <v>1457962644.53</v>
      </c>
      <c r="K158" s="11">
        <v>0</v>
      </c>
      <c r="L158" s="10">
        <f t="shared" si="45"/>
        <v>1457962644.53</v>
      </c>
      <c r="M158" s="11">
        <v>0</v>
      </c>
      <c r="N158" s="11">
        <v>0</v>
      </c>
      <c r="O158" s="11">
        <v>0</v>
      </c>
      <c r="P158" s="11">
        <f t="shared" si="49"/>
        <v>1457962644.53</v>
      </c>
      <c r="Q158" s="11">
        <f t="shared" si="50"/>
        <v>0</v>
      </c>
      <c r="R158" s="11">
        <f t="shared" si="51"/>
        <v>0</v>
      </c>
      <c r="S158" s="111"/>
      <c r="T158" s="113"/>
      <c r="U158" s="113"/>
      <c r="V158" s="113"/>
      <c r="W158" s="113"/>
      <c r="X158" s="113"/>
      <c r="Y158" s="113"/>
      <c r="Z158" s="113"/>
      <c r="AA158" s="113"/>
    </row>
    <row r="159" spans="1:27" s="70" customFormat="1" x14ac:dyDescent="0.25">
      <c r="A159" s="99" t="s">
        <v>313</v>
      </c>
      <c r="B159" s="1" t="s">
        <v>314</v>
      </c>
      <c r="C159" s="11">
        <v>0</v>
      </c>
      <c r="D159" s="11">
        <v>106421350</v>
      </c>
      <c r="E159" s="11">
        <v>0</v>
      </c>
      <c r="F159" s="11">
        <v>0</v>
      </c>
      <c r="G159" s="11"/>
      <c r="H159" s="11">
        <v>0</v>
      </c>
      <c r="I159" s="11">
        <v>0</v>
      </c>
      <c r="J159" s="11">
        <f t="shared" si="44"/>
        <v>106421350</v>
      </c>
      <c r="K159" s="11">
        <v>100208112</v>
      </c>
      <c r="L159" s="10">
        <f t="shared" si="45"/>
        <v>6213238</v>
      </c>
      <c r="M159" s="11">
        <v>100208112</v>
      </c>
      <c r="N159" s="11">
        <v>249</v>
      </c>
      <c r="O159" s="11">
        <v>103632313</v>
      </c>
      <c r="P159" s="11">
        <f t="shared" si="49"/>
        <v>2789037</v>
      </c>
      <c r="Q159" s="11">
        <f t="shared" si="50"/>
        <v>100208112</v>
      </c>
      <c r="R159" s="11">
        <f t="shared" si="51"/>
        <v>0</v>
      </c>
      <c r="S159" s="111"/>
      <c r="T159" s="113"/>
      <c r="U159" s="113"/>
      <c r="V159" s="113"/>
      <c r="W159" s="113"/>
      <c r="X159" s="113"/>
      <c r="Y159" s="113"/>
      <c r="Z159" s="113"/>
      <c r="AA159" s="113"/>
    </row>
    <row r="160" spans="1:27" s="70" customFormat="1" x14ac:dyDescent="0.25">
      <c r="A160" s="99" t="s">
        <v>315</v>
      </c>
      <c r="B160" s="1" t="s">
        <v>316</v>
      </c>
      <c r="C160" s="11">
        <v>1000</v>
      </c>
      <c r="D160" s="11">
        <v>0</v>
      </c>
      <c r="E160" s="11">
        <v>0</v>
      </c>
      <c r="F160" s="11">
        <v>0</v>
      </c>
      <c r="G160" s="11"/>
      <c r="H160" s="11">
        <v>0</v>
      </c>
      <c r="I160" s="11">
        <v>0</v>
      </c>
      <c r="J160" s="11">
        <f t="shared" si="44"/>
        <v>1000</v>
      </c>
      <c r="K160" s="11">
        <v>0</v>
      </c>
      <c r="L160" s="10">
        <f t="shared" si="45"/>
        <v>1000</v>
      </c>
      <c r="M160" s="11">
        <v>0</v>
      </c>
      <c r="N160" s="11">
        <v>0</v>
      </c>
      <c r="O160" s="11">
        <v>0</v>
      </c>
      <c r="P160" s="11">
        <f t="shared" si="49"/>
        <v>1000</v>
      </c>
      <c r="Q160" s="11">
        <f t="shared" si="50"/>
        <v>0</v>
      </c>
      <c r="R160" s="11">
        <f t="shared" si="51"/>
        <v>0</v>
      </c>
      <c r="S160" s="111"/>
      <c r="T160" s="113"/>
      <c r="U160" s="113"/>
      <c r="V160" s="113"/>
      <c r="W160" s="113"/>
      <c r="X160" s="113"/>
      <c r="Y160" s="113"/>
      <c r="Z160" s="113"/>
      <c r="AA160" s="113"/>
    </row>
    <row r="161" spans="1:27" s="70" customFormat="1" x14ac:dyDescent="0.25">
      <c r="A161" s="99" t="s">
        <v>317</v>
      </c>
      <c r="B161" s="1" t="s">
        <v>223</v>
      </c>
      <c r="C161" s="11">
        <v>1000</v>
      </c>
      <c r="D161" s="11">
        <v>0</v>
      </c>
      <c r="E161" s="11">
        <v>0</v>
      </c>
      <c r="F161" s="11">
        <v>0</v>
      </c>
      <c r="G161" s="11"/>
      <c r="H161" s="11">
        <v>0</v>
      </c>
      <c r="I161" s="11">
        <v>0</v>
      </c>
      <c r="J161" s="11">
        <f t="shared" si="44"/>
        <v>1000</v>
      </c>
      <c r="K161" s="11">
        <v>0</v>
      </c>
      <c r="L161" s="10">
        <f t="shared" si="45"/>
        <v>1000</v>
      </c>
      <c r="M161" s="11">
        <v>0</v>
      </c>
      <c r="N161" s="11">
        <v>0</v>
      </c>
      <c r="O161" s="11">
        <v>0</v>
      </c>
      <c r="P161" s="11">
        <f t="shared" si="49"/>
        <v>1000</v>
      </c>
      <c r="Q161" s="11">
        <f t="shared" si="50"/>
        <v>0</v>
      </c>
      <c r="R161" s="11">
        <f t="shared" si="51"/>
        <v>0</v>
      </c>
      <c r="S161" s="111"/>
      <c r="T161" s="113"/>
      <c r="U161" s="113"/>
      <c r="V161" s="113"/>
      <c r="W161" s="113"/>
      <c r="X161" s="113"/>
      <c r="Y161" s="113"/>
      <c r="Z161" s="113"/>
      <c r="AA161" s="113"/>
    </row>
    <row r="162" spans="1:27" s="70" customFormat="1" x14ac:dyDescent="0.25">
      <c r="A162" s="99" t="s">
        <v>318</v>
      </c>
      <c r="B162" s="1" t="s">
        <v>319</v>
      </c>
      <c r="C162" s="11">
        <v>2000</v>
      </c>
      <c r="D162" s="11">
        <v>0</v>
      </c>
      <c r="E162" s="11">
        <v>0</v>
      </c>
      <c r="F162" s="11">
        <v>0</v>
      </c>
      <c r="G162" s="11"/>
      <c r="H162" s="11">
        <v>0</v>
      </c>
      <c r="I162" s="11">
        <v>0</v>
      </c>
      <c r="J162" s="11">
        <f t="shared" si="44"/>
        <v>2000</v>
      </c>
      <c r="K162" s="11">
        <v>0</v>
      </c>
      <c r="L162" s="10">
        <f t="shared" si="45"/>
        <v>2000</v>
      </c>
      <c r="M162" s="11">
        <v>0</v>
      </c>
      <c r="N162" s="11">
        <v>0</v>
      </c>
      <c r="O162" s="11">
        <v>0</v>
      </c>
      <c r="P162" s="11">
        <f t="shared" si="49"/>
        <v>2000</v>
      </c>
      <c r="Q162" s="11">
        <f t="shared" si="50"/>
        <v>0</v>
      </c>
      <c r="R162" s="11">
        <f t="shared" si="51"/>
        <v>0</v>
      </c>
      <c r="S162" s="111"/>
      <c r="T162" s="113"/>
      <c r="U162" s="113"/>
      <c r="V162" s="113"/>
      <c r="W162" s="113"/>
      <c r="X162" s="113"/>
      <c r="Y162" s="113"/>
      <c r="Z162" s="113"/>
      <c r="AA162" s="113"/>
    </row>
    <row r="163" spans="1:27" s="70" customFormat="1" x14ac:dyDescent="0.25">
      <c r="A163" s="99" t="s">
        <v>320</v>
      </c>
      <c r="B163" s="1" t="s">
        <v>321</v>
      </c>
      <c r="C163" s="11">
        <v>1000</v>
      </c>
      <c r="D163" s="11">
        <v>0</v>
      </c>
      <c r="E163" s="11">
        <v>0</v>
      </c>
      <c r="F163" s="11">
        <v>0</v>
      </c>
      <c r="G163" s="11"/>
      <c r="H163" s="11">
        <v>0</v>
      </c>
      <c r="I163" s="11">
        <v>0</v>
      </c>
      <c r="J163" s="11">
        <f t="shared" si="44"/>
        <v>1000</v>
      </c>
      <c r="K163" s="11">
        <v>0</v>
      </c>
      <c r="L163" s="10">
        <f t="shared" si="45"/>
        <v>1000</v>
      </c>
      <c r="M163" s="11">
        <v>0</v>
      </c>
      <c r="N163" s="11">
        <v>0</v>
      </c>
      <c r="O163" s="11">
        <v>0</v>
      </c>
      <c r="P163" s="11">
        <f t="shared" si="49"/>
        <v>1000</v>
      </c>
      <c r="Q163" s="11">
        <f t="shared" si="50"/>
        <v>0</v>
      </c>
      <c r="R163" s="11">
        <f t="shared" si="51"/>
        <v>0</v>
      </c>
      <c r="S163" s="111"/>
      <c r="T163" s="113"/>
      <c r="U163" s="113"/>
      <c r="V163" s="113"/>
      <c r="W163" s="113"/>
      <c r="X163" s="113"/>
      <c r="Y163" s="113"/>
      <c r="Z163" s="113"/>
      <c r="AA163" s="113"/>
    </row>
    <row r="164" spans="1:27" s="70" customFormat="1" x14ac:dyDescent="0.25">
      <c r="A164" s="99" t="s">
        <v>322</v>
      </c>
      <c r="B164" s="1" t="s">
        <v>323</v>
      </c>
      <c r="C164" s="11">
        <v>10000000</v>
      </c>
      <c r="D164" s="11">
        <v>0</v>
      </c>
      <c r="E164" s="11">
        <v>0</v>
      </c>
      <c r="F164" s="11">
        <v>0</v>
      </c>
      <c r="G164" s="11"/>
      <c r="H164" s="11">
        <v>0</v>
      </c>
      <c r="I164" s="11">
        <v>0</v>
      </c>
      <c r="J164" s="11">
        <f t="shared" si="44"/>
        <v>10000000</v>
      </c>
      <c r="K164" s="11">
        <v>0</v>
      </c>
      <c r="L164" s="10">
        <f t="shared" si="45"/>
        <v>10000000</v>
      </c>
      <c r="M164" s="11">
        <v>0</v>
      </c>
      <c r="N164" s="11">
        <v>0</v>
      </c>
      <c r="O164" s="11">
        <v>0</v>
      </c>
      <c r="P164" s="11">
        <f t="shared" si="49"/>
        <v>10000000</v>
      </c>
      <c r="Q164" s="11">
        <f t="shared" si="50"/>
        <v>0</v>
      </c>
      <c r="R164" s="11">
        <f t="shared" si="51"/>
        <v>0</v>
      </c>
      <c r="S164" s="111"/>
      <c r="T164" s="113"/>
      <c r="U164" s="113"/>
      <c r="V164" s="113"/>
      <c r="W164" s="113"/>
      <c r="X164" s="113"/>
      <c r="Y164" s="113"/>
      <c r="Z164" s="113"/>
      <c r="AA164" s="113"/>
    </row>
    <row r="165" spans="1:27" s="70" customFormat="1" x14ac:dyDescent="0.25">
      <c r="A165" s="99" t="s">
        <v>324</v>
      </c>
      <c r="B165" s="1" t="s">
        <v>325</v>
      </c>
      <c r="C165" s="11">
        <v>1000</v>
      </c>
      <c r="D165" s="11">
        <v>0</v>
      </c>
      <c r="E165" s="11">
        <v>0</v>
      </c>
      <c r="F165" s="11">
        <v>0</v>
      </c>
      <c r="G165" s="11"/>
      <c r="H165" s="11">
        <v>0</v>
      </c>
      <c r="I165" s="11">
        <v>0</v>
      </c>
      <c r="J165" s="11">
        <f t="shared" si="44"/>
        <v>1000</v>
      </c>
      <c r="K165" s="11">
        <v>0</v>
      </c>
      <c r="L165" s="10">
        <f t="shared" si="45"/>
        <v>1000</v>
      </c>
      <c r="M165" s="11">
        <v>0</v>
      </c>
      <c r="N165" s="11">
        <v>0</v>
      </c>
      <c r="O165" s="11">
        <v>0</v>
      </c>
      <c r="P165" s="11">
        <f t="shared" si="49"/>
        <v>1000</v>
      </c>
      <c r="Q165" s="11">
        <f t="shared" si="50"/>
        <v>0</v>
      </c>
      <c r="R165" s="11">
        <f t="shared" si="51"/>
        <v>0</v>
      </c>
      <c r="S165" s="111"/>
      <c r="T165" s="113"/>
      <c r="U165" s="113"/>
      <c r="V165" s="113"/>
      <c r="W165" s="113"/>
      <c r="X165" s="113"/>
      <c r="Y165" s="113"/>
      <c r="Z165" s="113"/>
      <c r="AA165" s="113"/>
    </row>
    <row r="166" spans="1:27" s="70" customFormat="1" x14ac:dyDescent="0.25">
      <c r="A166" s="99" t="s">
        <v>326</v>
      </c>
      <c r="B166" s="1" t="s">
        <v>327</v>
      </c>
      <c r="C166" s="11">
        <v>1000</v>
      </c>
      <c r="D166" s="11">
        <v>0</v>
      </c>
      <c r="E166" s="11">
        <v>0</v>
      </c>
      <c r="F166" s="11">
        <v>0</v>
      </c>
      <c r="G166" s="11"/>
      <c r="H166" s="11">
        <v>0</v>
      </c>
      <c r="I166" s="11">
        <v>0</v>
      </c>
      <c r="J166" s="11">
        <f t="shared" si="44"/>
        <v>1000</v>
      </c>
      <c r="K166" s="11">
        <v>0</v>
      </c>
      <c r="L166" s="10">
        <f t="shared" si="45"/>
        <v>1000</v>
      </c>
      <c r="M166" s="11">
        <v>0</v>
      </c>
      <c r="N166" s="11">
        <v>0</v>
      </c>
      <c r="O166" s="11">
        <v>0</v>
      </c>
      <c r="P166" s="11">
        <f t="shared" si="49"/>
        <v>1000</v>
      </c>
      <c r="Q166" s="11">
        <f t="shared" si="50"/>
        <v>0</v>
      </c>
      <c r="R166" s="11">
        <f t="shared" si="51"/>
        <v>0</v>
      </c>
      <c r="S166" s="111"/>
      <c r="T166" s="113"/>
      <c r="U166" s="113"/>
      <c r="V166" s="113"/>
      <c r="W166" s="113"/>
      <c r="X166" s="113"/>
      <c r="Y166" s="113"/>
      <c r="Z166" s="113"/>
      <c r="AA166" s="113"/>
    </row>
    <row r="167" spans="1:27" s="70" customFormat="1" x14ac:dyDescent="0.25">
      <c r="A167" s="99" t="s">
        <v>328</v>
      </c>
      <c r="B167" s="1" t="s">
        <v>329</v>
      </c>
      <c r="C167" s="11">
        <v>30000000</v>
      </c>
      <c r="D167" s="11">
        <v>0</v>
      </c>
      <c r="E167" s="11">
        <v>0</v>
      </c>
      <c r="F167" s="11">
        <v>15153500</v>
      </c>
      <c r="G167" s="11"/>
      <c r="H167" s="11">
        <v>0</v>
      </c>
      <c r="I167" s="11">
        <v>0</v>
      </c>
      <c r="J167" s="11">
        <f t="shared" si="44"/>
        <v>14846500</v>
      </c>
      <c r="K167" s="11">
        <v>14846500</v>
      </c>
      <c r="L167" s="10">
        <f t="shared" si="45"/>
        <v>0</v>
      </c>
      <c r="M167" s="11">
        <v>14846500</v>
      </c>
      <c r="N167" s="11">
        <v>0</v>
      </c>
      <c r="O167" s="11">
        <v>13882503</v>
      </c>
      <c r="P167" s="11">
        <f t="shared" si="49"/>
        <v>963997</v>
      </c>
      <c r="Q167" s="11">
        <f t="shared" si="50"/>
        <v>14846500</v>
      </c>
      <c r="R167" s="11">
        <f t="shared" si="51"/>
        <v>0</v>
      </c>
      <c r="S167" s="111"/>
      <c r="T167" s="113"/>
      <c r="U167" s="113"/>
      <c r="V167" s="113"/>
      <c r="W167" s="113"/>
      <c r="X167" s="113"/>
      <c r="Y167" s="113"/>
      <c r="Z167" s="113"/>
      <c r="AA167" s="113"/>
    </row>
    <row r="168" spans="1:27" s="183" customFormat="1" x14ac:dyDescent="0.25">
      <c r="A168" s="4" t="s">
        <v>330</v>
      </c>
      <c r="B168" s="5" t="s">
        <v>331</v>
      </c>
      <c r="C168" s="10">
        <f>+C169+C173+C175+C183+C185+C188+C191+C195+C198+C201</f>
        <v>1579853351</v>
      </c>
      <c r="D168" s="10">
        <f t="shared" ref="D168:R168" si="52">+D169+D173+D175+D183+D185+D188+D191+D195+D198+D201</f>
        <v>0</v>
      </c>
      <c r="E168" s="10">
        <f t="shared" si="52"/>
        <v>0</v>
      </c>
      <c r="F168" s="10">
        <f t="shared" si="52"/>
        <v>0</v>
      </c>
      <c r="G168" s="10">
        <f t="shared" si="52"/>
        <v>0</v>
      </c>
      <c r="H168" s="10">
        <f t="shared" si="52"/>
        <v>0</v>
      </c>
      <c r="I168" s="10">
        <f t="shared" si="52"/>
        <v>245197610.90000001</v>
      </c>
      <c r="J168" s="10">
        <f t="shared" si="52"/>
        <v>1825050961.9000001</v>
      </c>
      <c r="K168" s="10">
        <f t="shared" si="52"/>
        <v>1681546749.3899999</v>
      </c>
      <c r="L168" s="10">
        <f t="shared" si="52"/>
        <v>143504212.51000002</v>
      </c>
      <c r="M168" s="10">
        <f t="shared" si="52"/>
        <v>1349071315.3900001</v>
      </c>
      <c r="N168" s="10">
        <f t="shared" si="52"/>
        <v>502086210.18000001</v>
      </c>
      <c r="O168" s="10">
        <f t="shared" si="52"/>
        <v>1750232253.72</v>
      </c>
      <c r="P168" s="10">
        <f t="shared" si="52"/>
        <v>74818708.179999977</v>
      </c>
      <c r="Q168" s="10">
        <f t="shared" si="52"/>
        <v>1349071315.3900001</v>
      </c>
      <c r="R168" s="10">
        <f t="shared" si="52"/>
        <v>334499976</v>
      </c>
      <c r="S168" s="123"/>
      <c r="T168" s="113"/>
      <c r="U168" s="113"/>
      <c r="V168" s="113"/>
      <c r="W168" s="113"/>
      <c r="X168" s="113"/>
      <c r="Y168" s="113"/>
      <c r="Z168" s="113"/>
      <c r="AA168" s="113"/>
    </row>
    <row r="169" spans="1:27" s="183" customFormat="1" x14ac:dyDescent="0.25">
      <c r="A169" s="4" t="s">
        <v>332</v>
      </c>
      <c r="B169" s="5" t="s">
        <v>70</v>
      </c>
      <c r="C169" s="10">
        <f>+C170+C171+C172</f>
        <v>108982400</v>
      </c>
      <c r="D169" s="10">
        <f>+D170+D171+D172</f>
        <v>0</v>
      </c>
      <c r="E169" s="10">
        <f t="shared" ref="E169:R169" si="53">+E170+E171+E172</f>
        <v>0</v>
      </c>
      <c r="F169" s="10">
        <f t="shared" si="53"/>
        <v>0</v>
      </c>
      <c r="G169" s="10">
        <f t="shared" si="53"/>
        <v>0</v>
      </c>
      <c r="H169" s="10">
        <f t="shared" si="53"/>
        <v>0</v>
      </c>
      <c r="I169" s="10">
        <f t="shared" si="53"/>
        <v>120652300</v>
      </c>
      <c r="J169" s="10">
        <f t="shared" si="53"/>
        <v>229634700</v>
      </c>
      <c r="K169" s="10">
        <f t="shared" si="53"/>
        <v>176100392</v>
      </c>
      <c r="L169" s="10">
        <f t="shared" si="45"/>
        <v>53534308</v>
      </c>
      <c r="M169" s="10">
        <f t="shared" si="53"/>
        <v>130997064</v>
      </c>
      <c r="N169" s="10">
        <f t="shared" si="53"/>
        <v>94430177</v>
      </c>
      <c r="O169" s="10">
        <f t="shared" si="53"/>
        <v>191013550</v>
      </c>
      <c r="P169" s="10">
        <f t="shared" si="53"/>
        <v>38621150</v>
      </c>
      <c r="Q169" s="10">
        <f t="shared" si="53"/>
        <v>130997064</v>
      </c>
      <c r="R169" s="10">
        <f t="shared" si="53"/>
        <v>45103328</v>
      </c>
      <c r="S169" s="111"/>
      <c r="T169" s="113"/>
      <c r="U169" s="113"/>
      <c r="V169" s="113"/>
      <c r="W169" s="113"/>
      <c r="X169" s="113"/>
      <c r="Y169" s="113"/>
      <c r="Z169" s="113"/>
      <c r="AA169" s="113"/>
    </row>
    <row r="170" spans="1:27" s="70" customFormat="1" x14ac:dyDescent="0.25">
      <c r="A170" s="99" t="s">
        <v>333</v>
      </c>
      <c r="B170" s="1" t="s">
        <v>334</v>
      </c>
      <c r="C170" s="11">
        <v>75197856</v>
      </c>
      <c r="D170" s="11">
        <v>0</v>
      </c>
      <c r="E170" s="11">
        <v>0</v>
      </c>
      <c r="F170" s="11">
        <v>0</v>
      </c>
      <c r="G170" s="11"/>
      <c r="H170" s="11">
        <v>0</v>
      </c>
      <c r="I170" s="11">
        <v>0</v>
      </c>
      <c r="J170" s="11">
        <f t="shared" si="44"/>
        <v>75197856</v>
      </c>
      <c r="K170" s="11">
        <v>74704367</v>
      </c>
      <c r="L170" s="10">
        <f t="shared" si="45"/>
        <v>493489</v>
      </c>
      <c r="M170" s="11">
        <f>34112298+40592069</f>
        <v>74704367</v>
      </c>
      <c r="N170" s="11">
        <v>40592069</v>
      </c>
      <c r="O170" s="11">
        <v>75197856</v>
      </c>
      <c r="P170" s="11">
        <f>+J170-O170</f>
        <v>0</v>
      </c>
      <c r="Q170" s="11">
        <f>+M170</f>
        <v>74704367</v>
      </c>
      <c r="R170" s="11">
        <f>+K170-M170</f>
        <v>0</v>
      </c>
      <c r="S170" s="111"/>
      <c r="T170" s="113"/>
      <c r="U170" s="113"/>
      <c r="V170" s="113"/>
      <c r="W170" s="113"/>
      <c r="X170" s="113"/>
      <c r="Y170" s="113"/>
      <c r="Z170" s="113"/>
      <c r="AA170" s="113"/>
    </row>
    <row r="171" spans="1:27" s="70" customFormat="1" x14ac:dyDescent="0.25">
      <c r="A171" s="99" t="s">
        <v>335</v>
      </c>
      <c r="B171" s="1" t="s">
        <v>336</v>
      </c>
      <c r="C171" s="11">
        <v>22886304</v>
      </c>
      <c r="D171" s="11">
        <v>0</v>
      </c>
      <c r="E171" s="11">
        <v>0</v>
      </c>
      <c r="F171" s="11">
        <v>0</v>
      </c>
      <c r="G171" s="11"/>
      <c r="H171" s="11">
        <v>0</v>
      </c>
      <c r="I171" s="11">
        <v>120652300</v>
      </c>
      <c r="J171" s="11">
        <f>+C171+D171-E171-F171+G171-H171+I171</f>
        <v>143538604</v>
      </c>
      <c r="K171" s="11">
        <f>99264196-8647405</f>
        <v>90616791</v>
      </c>
      <c r="L171" s="10">
        <f t="shared" si="45"/>
        <v>52921813</v>
      </c>
      <c r="M171" s="11">
        <v>45513463</v>
      </c>
      <c r="N171" s="11">
        <v>53750733</v>
      </c>
      <c r="O171" s="11">
        <v>104917454</v>
      </c>
      <c r="P171" s="11">
        <f>+J171-O171</f>
        <v>38621150</v>
      </c>
      <c r="Q171" s="11">
        <f>+M171</f>
        <v>45513463</v>
      </c>
      <c r="R171" s="11">
        <f>+K171-M171</f>
        <v>45103328</v>
      </c>
      <c r="S171" s="111"/>
      <c r="T171" s="113"/>
      <c r="U171" s="113"/>
      <c r="V171" s="113"/>
      <c r="W171" s="113"/>
      <c r="X171" s="113"/>
      <c r="Y171" s="113"/>
      <c r="Z171" s="113"/>
      <c r="AA171" s="113"/>
    </row>
    <row r="172" spans="1:27" s="70" customFormat="1" x14ac:dyDescent="0.25">
      <c r="A172" s="99" t="s">
        <v>337</v>
      </c>
      <c r="B172" s="1" t="s">
        <v>338</v>
      </c>
      <c r="C172" s="11">
        <v>10898240</v>
      </c>
      <c r="D172" s="11">
        <v>0</v>
      </c>
      <c r="E172" s="11">
        <v>0</v>
      </c>
      <c r="F172" s="11">
        <v>0</v>
      </c>
      <c r="G172" s="11"/>
      <c r="H172" s="11">
        <v>0</v>
      </c>
      <c r="I172" s="11">
        <v>0</v>
      </c>
      <c r="J172" s="11">
        <f>+C172+D172-E172-F172+G172-H172+I172</f>
        <v>10898240</v>
      </c>
      <c r="K172" s="11">
        <v>10779234</v>
      </c>
      <c r="L172" s="10">
        <f t="shared" si="45"/>
        <v>119006</v>
      </c>
      <c r="M172" s="11">
        <v>10779234</v>
      </c>
      <c r="N172" s="11">
        <v>87375</v>
      </c>
      <c r="O172" s="11">
        <v>10898240</v>
      </c>
      <c r="P172" s="11">
        <f>+J172-O172</f>
        <v>0</v>
      </c>
      <c r="Q172" s="11">
        <f>+M172</f>
        <v>10779234</v>
      </c>
      <c r="R172" s="11">
        <f>+K172-M172</f>
        <v>0</v>
      </c>
      <c r="S172" s="111"/>
      <c r="T172" s="113"/>
      <c r="U172" s="113"/>
      <c r="V172" s="113"/>
      <c r="W172" s="113"/>
      <c r="X172" s="113"/>
      <c r="Y172" s="113"/>
      <c r="Z172" s="113"/>
      <c r="AA172" s="113"/>
    </row>
    <row r="173" spans="1:27" s="183" customFormat="1" x14ac:dyDescent="0.25">
      <c r="A173" s="4" t="s">
        <v>339</v>
      </c>
      <c r="B173" s="5" t="s">
        <v>340</v>
      </c>
      <c r="C173" s="10">
        <f t="shared" ref="C173:R173" si="54">+C174</f>
        <v>5000000</v>
      </c>
      <c r="D173" s="10">
        <f t="shared" si="54"/>
        <v>0</v>
      </c>
      <c r="E173" s="10">
        <f t="shared" si="54"/>
        <v>0</v>
      </c>
      <c r="F173" s="10">
        <f t="shared" si="54"/>
        <v>0</v>
      </c>
      <c r="G173" s="10">
        <f t="shared" si="54"/>
        <v>0</v>
      </c>
      <c r="H173" s="10">
        <f t="shared" si="54"/>
        <v>0</v>
      </c>
      <c r="I173" s="10">
        <f t="shared" si="54"/>
        <v>0</v>
      </c>
      <c r="J173" s="10">
        <f t="shared" si="54"/>
        <v>5000000</v>
      </c>
      <c r="K173" s="10">
        <f t="shared" si="54"/>
        <v>5000000</v>
      </c>
      <c r="L173" s="10">
        <f t="shared" si="45"/>
        <v>0</v>
      </c>
      <c r="M173" s="10">
        <f t="shared" si="54"/>
        <v>5000000</v>
      </c>
      <c r="N173" s="10">
        <f t="shared" si="54"/>
        <v>0</v>
      </c>
      <c r="O173" s="10">
        <f t="shared" si="54"/>
        <v>5000000</v>
      </c>
      <c r="P173" s="10">
        <f t="shared" si="54"/>
        <v>0</v>
      </c>
      <c r="Q173" s="10">
        <f t="shared" si="54"/>
        <v>5000000</v>
      </c>
      <c r="R173" s="10">
        <f t="shared" si="54"/>
        <v>0</v>
      </c>
      <c r="S173" s="111"/>
      <c r="T173" s="113"/>
      <c r="U173" s="113"/>
      <c r="V173" s="113"/>
      <c r="W173" s="113"/>
      <c r="X173" s="113"/>
      <c r="Y173" s="113"/>
      <c r="Z173" s="113"/>
      <c r="AA173" s="113"/>
    </row>
    <row r="174" spans="1:27" s="70" customFormat="1" x14ac:dyDescent="0.25">
      <c r="A174" s="99" t="s">
        <v>341</v>
      </c>
      <c r="B174" s="1" t="s">
        <v>342</v>
      </c>
      <c r="C174" s="11">
        <v>5000000</v>
      </c>
      <c r="D174" s="11">
        <v>0</v>
      </c>
      <c r="E174" s="11">
        <v>0</v>
      </c>
      <c r="F174" s="11">
        <v>0</v>
      </c>
      <c r="G174" s="11"/>
      <c r="H174" s="11">
        <v>0</v>
      </c>
      <c r="I174" s="11">
        <v>0</v>
      </c>
      <c r="J174" s="11">
        <f>+C174+D174-E174-F174+G174-H174+I174</f>
        <v>5000000</v>
      </c>
      <c r="K174" s="11">
        <v>5000000</v>
      </c>
      <c r="L174" s="10">
        <f t="shared" si="45"/>
        <v>0</v>
      </c>
      <c r="M174" s="11">
        <v>5000000</v>
      </c>
      <c r="N174" s="11">
        <v>0</v>
      </c>
      <c r="O174" s="11">
        <v>5000000</v>
      </c>
      <c r="P174" s="11">
        <f>+J174-O174</f>
        <v>0</v>
      </c>
      <c r="Q174" s="11">
        <f>+M174</f>
        <v>5000000</v>
      </c>
      <c r="R174" s="11">
        <f>+K174-M174</f>
        <v>0</v>
      </c>
      <c r="S174" s="111"/>
      <c r="T174" s="113"/>
      <c r="U174" s="113"/>
      <c r="V174" s="113"/>
      <c r="W174" s="113"/>
      <c r="X174" s="113"/>
      <c r="Y174" s="113"/>
      <c r="Z174" s="113"/>
      <c r="AA174" s="113"/>
    </row>
    <row r="175" spans="1:27" s="183" customFormat="1" x14ac:dyDescent="0.25">
      <c r="A175" s="4" t="s">
        <v>343</v>
      </c>
      <c r="B175" s="5" t="s">
        <v>344</v>
      </c>
      <c r="C175" s="10">
        <f t="shared" ref="C175:R175" si="55">SUM(C176:C182)</f>
        <v>128200000</v>
      </c>
      <c r="D175" s="10">
        <f t="shared" si="55"/>
        <v>0</v>
      </c>
      <c r="E175" s="10">
        <f t="shared" si="55"/>
        <v>0</v>
      </c>
      <c r="F175" s="10">
        <f t="shared" si="55"/>
        <v>0</v>
      </c>
      <c r="G175" s="10">
        <f t="shared" si="55"/>
        <v>0</v>
      </c>
      <c r="H175" s="10">
        <f t="shared" si="55"/>
        <v>0</v>
      </c>
      <c r="I175" s="10">
        <f t="shared" si="55"/>
        <v>14625000</v>
      </c>
      <c r="J175" s="10">
        <f t="shared" si="55"/>
        <v>142825000</v>
      </c>
      <c r="K175" s="10">
        <f t="shared" si="55"/>
        <v>138376136</v>
      </c>
      <c r="L175" s="10">
        <f t="shared" si="45"/>
        <v>4448864</v>
      </c>
      <c r="M175" s="10">
        <f t="shared" si="55"/>
        <v>100692544</v>
      </c>
      <c r="N175" s="10">
        <f t="shared" si="55"/>
        <v>56755536</v>
      </c>
      <c r="O175" s="10">
        <f t="shared" si="55"/>
        <v>142825000</v>
      </c>
      <c r="P175" s="10">
        <f t="shared" si="55"/>
        <v>0</v>
      </c>
      <c r="Q175" s="10">
        <f t="shared" si="55"/>
        <v>100692544</v>
      </c>
      <c r="R175" s="10">
        <f t="shared" si="55"/>
        <v>37683592</v>
      </c>
      <c r="S175" s="111"/>
      <c r="T175" s="113"/>
      <c r="U175" s="113"/>
      <c r="V175" s="113"/>
      <c r="W175" s="113"/>
      <c r="X175" s="113"/>
      <c r="Y175" s="113"/>
      <c r="Z175" s="113"/>
      <c r="AA175" s="113"/>
    </row>
    <row r="176" spans="1:27" s="70" customFormat="1" x14ac:dyDescent="0.25">
      <c r="A176" s="99" t="s">
        <v>345</v>
      </c>
      <c r="B176" s="1" t="s">
        <v>346</v>
      </c>
      <c r="C176" s="11">
        <v>17948000</v>
      </c>
      <c r="D176" s="11">
        <v>0</v>
      </c>
      <c r="E176" s="11">
        <v>0</v>
      </c>
      <c r="F176" s="11">
        <v>0</v>
      </c>
      <c r="G176" s="11"/>
      <c r="H176" s="11">
        <v>0</v>
      </c>
      <c r="I176" s="11">
        <v>0</v>
      </c>
      <c r="J176" s="11">
        <f t="shared" ref="J176:J182" si="56">+C176+D176-E176-F176+G176-H176+I176</f>
        <v>17948000</v>
      </c>
      <c r="K176" s="11">
        <v>17948000</v>
      </c>
      <c r="L176" s="10">
        <f t="shared" si="45"/>
        <v>0</v>
      </c>
      <c r="M176" s="11">
        <v>0</v>
      </c>
      <c r="N176" s="11">
        <v>17948000</v>
      </c>
      <c r="O176" s="11">
        <v>17948000</v>
      </c>
      <c r="P176" s="11">
        <f t="shared" ref="P176:P182" si="57">+J176-O176</f>
        <v>0</v>
      </c>
      <c r="Q176" s="11">
        <f t="shared" ref="Q176:Q182" si="58">+M176</f>
        <v>0</v>
      </c>
      <c r="R176" s="11">
        <f t="shared" ref="R176:R182" si="59">+K176-M176</f>
        <v>17948000</v>
      </c>
      <c r="S176" s="111"/>
      <c r="T176" s="113"/>
      <c r="U176" s="113"/>
      <c r="V176" s="113"/>
      <c r="W176" s="113"/>
      <c r="X176" s="113"/>
      <c r="Y176" s="113"/>
      <c r="Z176" s="113"/>
      <c r="AA176" s="113"/>
    </row>
    <row r="177" spans="1:27" s="70" customFormat="1" x14ac:dyDescent="0.25">
      <c r="A177" s="99" t="s">
        <v>347</v>
      </c>
      <c r="B177" s="1" t="s">
        <v>348</v>
      </c>
      <c r="C177" s="11">
        <v>20512000</v>
      </c>
      <c r="D177" s="11">
        <v>0</v>
      </c>
      <c r="E177" s="11">
        <v>0</v>
      </c>
      <c r="F177" s="11">
        <v>0</v>
      </c>
      <c r="G177" s="11"/>
      <c r="H177" s="11">
        <v>0</v>
      </c>
      <c r="I177" s="11">
        <v>0</v>
      </c>
      <c r="J177" s="11">
        <f t="shared" si="56"/>
        <v>20512000</v>
      </c>
      <c r="K177" s="11">
        <v>20457015</v>
      </c>
      <c r="L177" s="10">
        <f t="shared" si="45"/>
        <v>54985</v>
      </c>
      <c r="M177" s="11">
        <f>5844000+36632</f>
        <v>5880632</v>
      </c>
      <c r="N177" s="11">
        <v>14613015</v>
      </c>
      <c r="O177" s="11">
        <v>20512000</v>
      </c>
      <c r="P177" s="11">
        <f t="shared" si="57"/>
        <v>0</v>
      </c>
      <c r="Q177" s="11">
        <f t="shared" si="58"/>
        <v>5880632</v>
      </c>
      <c r="R177" s="11">
        <f t="shared" si="59"/>
        <v>14576383</v>
      </c>
      <c r="S177" s="111"/>
      <c r="T177" s="113"/>
      <c r="U177" s="113"/>
      <c r="V177" s="113"/>
      <c r="W177" s="113"/>
      <c r="X177" s="113"/>
      <c r="Y177" s="113"/>
      <c r="Z177" s="113"/>
      <c r="AA177" s="113"/>
    </row>
    <row r="178" spans="1:27" s="70" customFormat="1" x14ac:dyDescent="0.25">
      <c r="A178" s="99" t="s">
        <v>349</v>
      </c>
      <c r="B178" s="1" t="s">
        <v>350</v>
      </c>
      <c r="C178" s="11">
        <v>17948000</v>
      </c>
      <c r="D178" s="11">
        <v>0</v>
      </c>
      <c r="E178" s="11">
        <v>0</v>
      </c>
      <c r="F178" s="11">
        <v>0</v>
      </c>
      <c r="G178" s="11"/>
      <c r="H178" s="11">
        <v>0</v>
      </c>
      <c r="I178" s="11">
        <v>0</v>
      </c>
      <c r="J178" s="11">
        <f t="shared" si="56"/>
        <v>17948000</v>
      </c>
      <c r="K178" s="11">
        <v>17948000</v>
      </c>
      <c r="L178" s="10">
        <f t="shared" si="45"/>
        <v>0</v>
      </c>
      <c r="M178" s="11">
        <f>4300000+9026407</f>
        <v>13326407</v>
      </c>
      <c r="N178" s="11">
        <v>13648000</v>
      </c>
      <c r="O178" s="11">
        <v>17948000</v>
      </c>
      <c r="P178" s="11">
        <f t="shared" si="57"/>
        <v>0</v>
      </c>
      <c r="Q178" s="11">
        <f t="shared" si="58"/>
        <v>13326407</v>
      </c>
      <c r="R178" s="11">
        <f t="shared" si="59"/>
        <v>4621593</v>
      </c>
      <c r="S178" s="111"/>
      <c r="T178" s="113"/>
      <c r="U178" s="113"/>
      <c r="V178" s="113"/>
      <c r="W178" s="113"/>
      <c r="X178" s="113"/>
      <c r="Y178" s="113"/>
      <c r="Z178" s="113"/>
      <c r="AA178" s="113"/>
    </row>
    <row r="179" spans="1:27" s="70" customFormat="1" x14ac:dyDescent="0.25">
      <c r="A179" s="99" t="s">
        <v>351</v>
      </c>
      <c r="B179" s="1" t="s">
        <v>352</v>
      </c>
      <c r="C179" s="11">
        <v>20512000</v>
      </c>
      <c r="D179" s="11">
        <v>0</v>
      </c>
      <c r="E179" s="11">
        <v>0</v>
      </c>
      <c r="F179" s="11">
        <v>0</v>
      </c>
      <c r="G179" s="11"/>
      <c r="H179" s="11">
        <v>0</v>
      </c>
      <c r="I179" s="11">
        <v>0</v>
      </c>
      <c r="J179" s="11">
        <f t="shared" si="56"/>
        <v>20512000</v>
      </c>
      <c r="K179" s="11">
        <v>20468999</v>
      </c>
      <c r="L179" s="10">
        <f t="shared" si="45"/>
        <v>43001</v>
      </c>
      <c r="M179" s="11">
        <f>20468999-478379</f>
        <v>19990620</v>
      </c>
      <c r="N179" s="11">
        <v>3588181</v>
      </c>
      <c r="O179" s="11">
        <v>20512000</v>
      </c>
      <c r="P179" s="11">
        <f t="shared" si="57"/>
        <v>0</v>
      </c>
      <c r="Q179" s="11">
        <f t="shared" si="58"/>
        <v>19990620</v>
      </c>
      <c r="R179" s="11">
        <f t="shared" si="59"/>
        <v>478379</v>
      </c>
      <c r="S179" s="111"/>
      <c r="T179" s="113"/>
      <c r="U179" s="113"/>
      <c r="V179" s="113"/>
      <c r="W179" s="113"/>
      <c r="X179" s="113"/>
      <c r="Y179" s="113"/>
      <c r="Z179" s="113"/>
      <c r="AA179" s="113"/>
    </row>
    <row r="180" spans="1:27" s="70" customFormat="1" x14ac:dyDescent="0.25">
      <c r="A180" s="99" t="s">
        <v>353</v>
      </c>
      <c r="B180" s="1" t="s">
        <v>354</v>
      </c>
      <c r="C180" s="11">
        <v>44870000</v>
      </c>
      <c r="D180" s="11">
        <v>0</v>
      </c>
      <c r="E180" s="11">
        <v>0</v>
      </c>
      <c r="F180" s="11">
        <v>0</v>
      </c>
      <c r="G180" s="11"/>
      <c r="H180" s="11">
        <v>0</v>
      </c>
      <c r="I180" s="11">
        <v>0</v>
      </c>
      <c r="J180" s="11">
        <f t="shared" si="56"/>
        <v>44870000</v>
      </c>
      <c r="K180" s="11">
        <v>43929779</v>
      </c>
      <c r="L180" s="10">
        <f t="shared" si="45"/>
        <v>940221</v>
      </c>
      <c r="M180" s="11">
        <f>43929779-59237</f>
        <v>43870542</v>
      </c>
      <c r="N180" s="11">
        <v>6958340</v>
      </c>
      <c r="O180" s="11">
        <v>44870000</v>
      </c>
      <c r="P180" s="11">
        <f t="shared" si="57"/>
        <v>0</v>
      </c>
      <c r="Q180" s="11">
        <f t="shared" si="58"/>
        <v>43870542</v>
      </c>
      <c r="R180" s="11">
        <f t="shared" si="59"/>
        <v>59237</v>
      </c>
      <c r="S180" s="111"/>
      <c r="T180" s="113"/>
      <c r="U180" s="113"/>
      <c r="V180" s="113"/>
      <c r="W180" s="113"/>
      <c r="X180" s="113"/>
      <c r="Y180" s="113"/>
      <c r="Z180" s="113"/>
      <c r="AA180" s="113"/>
    </row>
    <row r="181" spans="1:27" s="70" customFormat="1" x14ac:dyDescent="0.25">
      <c r="A181" s="99" t="s">
        <v>355</v>
      </c>
      <c r="B181" s="1" t="s">
        <v>356</v>
      </c>
      <c r="C181" s="11">
        <v>6410000</v>
      </c>
      <c r="D181" s="11">
        <v>0</v>
      </c>
      <c r="E181" s="11">
        <v>0</v>
      </c>
      <c r="F181" s="11">
        <v>0</v>
      </c>
      <c r="G181" s="11"/>
      <c r="H181" s="11">
        <v>0</v>
      </c>
      <c r="I181" s="11">
        <v>0</v>
      </c>
      <c r="J181" s="11">
        <f t="shared" si="56"/>
        <v>6410000</v>
      </c>
      <c r="K181" s="11">
        <v>6410000</v>
      </c>
      <c r="L181" s="10">
        <f t="shared" si="45"/>
        <v>0</v>
      </c>
      <c r="M181" s="11">
        <v>6410000</v>
      </c>
      <c r="N181" s="11">
        <v>0</v>
      </c>
      <c r="O181" s="11">
        <v>6410000</v>
      </c>
      <c r="P181" s="11">
        <f t="shared" si="57"/>
        <v>0</v>
      </c>
      <c r="Q181" s="11">
        <f t="shared" si="58"/>
        <v>6410000</v>
      </c>
      <c r="R181" s="11">
        <f t="shared" si="59"/>
        <v>0</v>
      </c>
      <c r="S181" s="111"/>
      <c r="T181" s="113"/>
      <c r="U181" s="113"/>
      <c r="V181" s="113"/>
      <c r="W181" s="113"/>
      <c r="X181" s="113"/>
      <c r="Y181" s="113"/>
      <c r="Z181" s="113"/>
      <c r="AA181" s="113"/>
    </row>
    <row r="182" spans="1:27" s="70" customFormat="1" x14ac:dyDescent="0.25">
      <c r="A182" s="99" t="s">
        <v>357</v>
      </c>
      <c r="B182" s="1" t="s">
        <v>358</v>
      </c>
      <c r="C182" s="11">
        <v>0</v>
      </c>
      <c r="D182" s="11">
        <v>0</v>
      </c>
      <c r="E182" s="11">
        <v>0</v>
      </c>
      <c r="F182" s="11">
        <v>0</v>
      </c>
      <c r="G182" s="11"/>
      <c r="H182" s="11">
        <v>0</v>
      </c>
      <c r="I182" s="11">
        <v>14625000</v>
      </c>
      <c r="J182" s="11">
        <f t="shared" si="56"/>
        <v>14625000</v>
      </c>
      <c r="K182" s="11">
        <v>11214343</v>
      </c>
      <c r="L182" s="10">
        <f t="shared" si="45"/>
        <v>3410657</v>
      </c>
      <c r="M182" s="11">
        <v>11214343</v>
      </c>
      <c r="N182" s="11">
        <v>0</v>
      </c>
      <c r="O182" s="11">
        <v>14625000</v>
      </c>
      <c r="P182" s="11">
        <f t="shared" si="57"/>
        <v>0</v>
      </c>
      <c r="Q182" s="11">
        <f t="shared" si="58"/>
        <v>11214343</v>
      </c>
      <c r="R182" s="11">
        <f t="shared" si="59"/>
        <v>0</v>
      </c>
      <c r="S182" s="111"/>
      <c r="T182" s="113"/>
      <c r="U182" s="113"/>
      <c r="V182" s="113"/>
      <c r="W182" s="113"/>
      <c r="X182" s="113"/>
      <c r="Y182" s="113"/>
      <c r="Z182" s="113"/>
      <c r="AA182" s="113"/>
    </row>
    <row r="183" spans="1:27" s="183" customFormat="1" x14ac:dyDescent="0.25">
      <c r="A183" s="4" t="s">
        <v>359</v>
      </c>
      <c r="B183" s="5" t="s">
        <v>88</v>
      </c>
      <c r="C183" s="10">
        <f t="shared" ref="C183:R183" si="60">+C184</f>
        <v>45000000</v>
      </c>
      <c r="D183" s="10">
        <f t="shared" si="60"/>
        <v>0</v>
      </c>
      <c r="E183" s="10">
        <f t="shared" si="60"/>
        <v>0</v>
      </c>
      <c r="F183" s="10">
        <f t="shared" si="60"/>
        <v>0</v>
      </c>
      <c r="G183" s="10">
        <f t="shared" si="60"/>
        <v>0</v>
      </c>
      <c r="H183" s="10">
        <f t="shared" si="60"/>
        <v>0</v>
      </c>
      <c r="I183" s="10">
        <f t="shared" si="60"/>
        <v>0</v>
      </c>
      <c r="J183" s="10">
        <f t="shared" si="60"/>
        <v>45000000</v>
      </c>
      <c r="K183" s="10">
        <f t="shared" si="60"/>
        <v>44655669</v>
      </c>
      <c r="L183" s="10">
        <f t="shared" si="45"/>
        <v>344331</v>
      </c>
      <c r="M183" s="10">
        <f t="shared" si="60"/>
        <v>44655669</v>
      </c>
      <c r="N183" s="10">
        <f t="shared" si="60"/>
        <v>0</v>
      </c>
      <c r="O183" s="10">
        <f t="shared" si="60"/>
        <v>45000000</v>
      </c>
      <c r="P183" s="10">
        <f t="shared" si="60"/>
        <v>0</v>
      </c>
      <c r="Q183" s="10">
        <f t="shared" si="60"/>
        <v>44655669</v>
      </c>
      <c r="R183" s="10">
        <f t="shared" si="60"/>
        <v>0</v>
      </c>
      <c r="S183" s="111"/>
      <c r="T183" s="113"/>
      <c r="U183" s="113"/>
      <c r="V183" s="113"/>
      <c r="W183" s="113"/>
      <c r="X183" s="113"/>
      <c r="Y183" s="113"/>
      <c r="Z183" s="113"/>
      <c r="AA183" s="113"/>
    </row>
    <row r="184" spans="1:27" s="70" customFormat="1" x14ac:dyDescent="0.25">
      <c r="A184" s="99" t="s">
        <v>360</v>
      </c>
      <c r="B184" s="1" t="s">
        <v>334</v>
      </c>
      <c r="C184" s="11">
        <v>45000000</v>
      </c>
      <c r="D184" s="11">
        <v>0</v>
      </c>
      <c r="E184" s="11">
        <v>0</v>
      </c>
      <c r="F184" s="11">
        <v>0</v>
      </c>
      <c r="G184" s="11"/>
      <c r="H184" s="11">
        <v>0</v>
      </c>
      <c r="I184" s="11">
        <v>0</v>
      </c>
      <c r="J184" s="11">
        <f>+C184+D184-E184-F184+G184-H184+I184</f>
        <v>45000000</v>
      </c>
      <c r="K184" s="11">
        <v>44655669</v>
      </c>
      <c r="L184" s="10">
        <f t="shared" si="45"/>
        <v>344331</v>
      </c>
      <c r="M184" s="11">
        <v>44655669</v>
      </c>
      <c r="N184" s="11">
        <v>0</v>
      </c>
      <c r="O184" s="11">
        <v>45000000</v>
      </c>
      <c r="P184" s="11">
        <f>+J184-O184</f>
        <v>0</v>
      </c>
      <c r="Q184" s="11">
        <f>+M184</f>
        <v>44655669</v>
      </c>
      <c r="R184" s="11">
        <f>+N184</f>
        <v>0</v>
      </c>
      <c r="S184" s="111"/>
      <c r="T184" s="113"/>
      <c r="U184" s="113"/>
      <c r="V184" s="113"/>
      <c r="W184" s="113"/>
      <c r="X184" s="113"/>
      <c r="Y184" s="113"/>
      <c r="Z184" s="113"/>
      <c r="AA184" s="113"/>
    </row>
    <row r="185" spans="1:27" s="183" customFormat="1" x14ac:dyDescent="0.25">
      <c r="A185" s="4" t="s">
        <v>361</v>
      </c>
      <c r="B185" s="5" t="s">
        <v>98</v>
      </c>
      <c r="C185" s="10">
        <f t="shared" ref="C185:R185" si="61">+C186+C187</f>
        <v>332000000</v>
      </c>
      <c r="D185" s="10">
        <f t="shared" si="61"/>
        <v>0</v>
      </c>
      <c r="E185" s="10">
        <f t="shared" si="61"/>
        <v>0</v>
      </c>
      <c r="F185" s="10">
        <f t="shared" si="61"/>
        <v>0</v>
      </c>
      <c r="G185" s="10">
        <f t="shared" si="61"/>
        <v>0</v>
      </c>
      <c r="H185" s="10">
        <f t="shared" si="61"/>
        <v>0</v>
      </c>
      <c r="I185" s="10">
        <f t="shared" si="61"/>
        <v>0</v>
      </c>
      <c r="J185" s="10">
        <f t="shared" si="61"/>
        <v>332000000</v>
      </c>
      <c r="K185" s="10">
        <f t="shared" si="61"/>
        <v>320495838.66999996</v>
      </c>
      <c r="L185" s="10">
        <f t="shared" si="45"/>
        <v>11504161.330000043</v>
      </c>
      <c r="M185" s="10">
        <f t="shared" si="61"/>
        <v>305305905.67000002</v>
      </c>
      <c r="N185" s="10">
        <f t="shared" si="61"/>
        <v>62230242.999999985</v>
      </c>
      <c r="O185" s="10">
        <f t="shared" si="61"/>
        <v>332000000</v>
      </c>
      <c r="P185" s="10">
        <f t="shared" si="61"/>
        <v>0</v>
      </c>
      <c r="Q185" s="10">
        <f t="shared" si="61"/>
        <v>305305905.67000002</v>
      </c>
      <c r="R185" s="10">
        <f t="shared" si="61"/>
        <v>15189932.99999997</v>
      </c>
      <c r="S185" s="111"/>
      <c r="T185" s="113"/>
      <c r="U185" s="113"/>
      <c r="V185" s="113"/>
      <c r="W185" s="113"/>
      <c r="X185" s="113"/>
      <c r="Y185" s="113"/>
      <c r="Z185" s="113"/>
      <c r="AA185" s="113"/>
    </row>
    <row r="186" spans="1:27" s="70" customFormat="1" x14ac:dyDescent="0.25">
      <c r="A186" s="99" t="s">
        <v>362</v>
      </c>
      <c r="B186" s="1" t="s">
        <v>334</v>
      </c>
      <c r="C186" s="11">
        <v>185920000</v>
      </c>
      <c r="D186" s="11">
        <v>0</v>
      </c>
      <c r="E186" s="11">
        <v>0</v>
      </c>
      <c r="F186" s="11">
        <v>0</v>
      </c>
      <c r="G186" s="11"/>
      <c r="H186" s="11">
        <v>0</v>
      </c>
      <c r="I186" s="11">
        <v>0</v>
      </c>
      <c r="J186" s="11">
        <f>+C186+D186-E186-F186+G186-H186+I186</f>
        <v>185920000</v>
      </c>
      <c r="K186" s="11">
        <v>174415838.66999999</v>
      </c>
      <c r="L186" s="10">
        <f t="shared" si="45"/>
        <v>11504161.330000013</v>
      </c>
      <c r="M186" s="11">
        <f>124051108.67+35174797</f>
        <v>159225905.67000002</v>
      </c>
      <c r="N186" s="11">
        <v>50918521.999999985</v>
      </c>
      <c r="O186" s="11">
        <v>185920000</v>
      </c>
      <c r="P186" s="11">
        <f>+J186-O186</f>
        <v>0</v>
      </c>
      <c r="Q186" s="11">
        <f>+M186</f>
        <v>159225905.67000002</v>
      </c>
      <c r="R186" s="11">
        <f>+K186-M186</f>
        <v>15189932.99999997</v>
      </c>
      <c r="S186" s="111"/>
      <c r="T186" s="113"/>
      <c r="U186" s="113"/>
      <c r="V186" s="113"/>
      <c r="W186" s="113"/>
      <c r="X186" s="113"/>
      <c r="Y186" s="113"/>
      <c r="Z186" s="113"/>
      <c r="AA186" s="113"/>
    </row>
    <row r="187" spans="1:27" s="70" customFormat="1" x14ac:dyDescent="0.25">
      <c r="A187" s="99" t="s">
        <v>363</v>
      </c>
      <c r="B187" s="1" t="s">
        <v>364</v>
      </c>
      <c r="C187" s="11">
        <v>146080000</v>
      </c>
      <c r="D187" s="11">
        <v>0</v>
      </c>
      <c r="E187" s="11">
        <v>0</v>
      </c>
      <c r="F187" s="11">
        <v>0</v>
      </c>
      <c r="G187" s="11"/>
      <c r="H187" s="11">
        <v>0</v>
      </c>
      <c r="I187" s="11">
        <v>0</v>
      </c>
      <c r="J187" s="11">
        <f>+C187+D187-E187-F187+G187-H187+I187</f>
        <v>146080000</v>
      </c>
      <c r="K187" s="11">
        <v>146080000</v>
      </c>
      <c r="L187" s="10">
        <f t="shared" si="45"/>
        <v>0</v>
      </c>
      <c r="M187" s="11">
        <v>146080000</v>
      </c>
      <c r="N187" s="11">
        <v>11311721</v>
      </c>
      <c r="O187" s="11">
        <v>146080000</v>
      </c>
      <c r="P187" s="11">
        <f>+J187-O187</f>
        <v>0</v>
      </c>
      <c r="Q187" s="11">
        <f>+M187</f>
        <v>146080000</v>
      </c>
      <c r="R187" s="11">
        <f>+K187-M187</f>
        <v>0</v>
      </c>
      <c r="S187" s="111"/>
      <c r="T187" s="113"/>
      <c r="U187" s="113"/>
      <c r="V187" s="113"/>
      <c r="W187" s="113"/>
      <c r="X187" s="113"/>
      <c r="Y187" s="113"/>
      <c r="Z187" s="113"/>
      <c r="AA187" s="113"/>
    </row>
    <row r="188" spans="1:27" s="183" customFormat="1" x14ac:dyDescent="0.25">
      <c r="A188" s="4" t="s">
        <v>365</v>
      </c>
      <c r="B188" s="5" t="s">
        <v>110</v>
      </c>
      <c r="C188" s="10">
        <f t="shared" ref="C188:R188" si="62">+C189+C190</f>
        <v>20000000</v>
      </c>
      <c r="D188" s="10">
        <f t="shared" si="62"/>
        <v>0</v>
      </c>
      <c r="E188" s="10">
        <f t="shared" si="62"/>
        <v>0</v>
      </c>
      <c r="F188" s="10">
        <f t="shared" si="62"/>
        <v>0</v>
      </c>
      <c r="G188" s="10">
        <f t="shared" si="62"/>
        <v>0</v>
      </c>
      <c r="H188" s="10">
        <f t="shared" si="62"/>
        <v>0</v>
      </c>
      <c r="I188" s="10">
        <f t="shared" si="62"/>
        <v>59920310.899999999</v>
      </c>
      <c r="J188" s="10">
        <f t="shared" si="62"/>
        <v>79920310.900000006</v>
      </c>
      <c r="K188" s="10">
        <f t="shared" si="62"/>
        <v>66785045</v>
      </c>
      <c r="L188" s="10">
        <f t="shared" si="45"/>
        <v>13135265.900000006</v>
      </c>
      <c r="M188" s="10">
        <f t="shared" si="62"/>
        <v>20508295</v>
      </c>
      <c r="N188" s="10">
        <f t="shared" si="62"/>
        <v>46276750</v>
      </c>
      <c r="O188" s="10">
        <f t="shared" si="62"/>
        <v>74886055</v>
      </c>
      <c r="P188" s="10">
        <f t="shared" si="62"/>
        <v>5034255.8999999985</v>
      </c>
      <c r="Q188" s="10">
        <f t="shared" si="62"/>
        <v>20508295</v>
      </c>
      <c r="R188" s="10">
        <f t="shared" si="62"/>
        <v>46276750</v>
      </c>
      <c r="S188" s="111"/>
      <c r="T188" s="113"/>
      <c r="U188" s="113"/>
      <c r="V188" s="113"/>
      <c r="W188" s="113"/>
      <c r="X188" s="113"/>
      <c r="Y188" s="113"/>
      <c r="Z188" s="113"/>
      <c r="AA188" s="113"/>
    </row>
    <row r="189" spans="1:27" s="70" customFormat="1" x14ac:dyDescent="0.25">
      <c r="A189" s="99" t="s">
        <v>366</v>
      </c>
      <c r="B189" s="1" t="s">
        <v>354</v>
      </c>
      <c r="C189" s="11">
        <v>15000000</v>
      </c>
      <c r="D189" s="11">
        <v>0</v>
      </c>
      <c r="E189" s="11">
        <v>0</v>
      </c>
      <c r="F189" s="11">
        <v>0</v>
      </c>
      <c r="G189" s="11"/>
      <c r="H189" s="11">
        <v>0</v>
      </c>
      <c r="I189" s="11">
        <v>27217604.899999999</v>
      </c>
      <c r="J189" s="11">
        <f>+C189+D189-E189-F189+G189-H189+I189</f>
        <v>42217604.899999999</v>
      </c>
      <c r="K189" s="11">
        <v>30798489</v>
      </c>
      <c r="L189" s="10">
        <f t="shared" si="45"/>
        <v>11419115.899999999</v>
      </c>
      <c r="M189" s="11">
        <v>15508295</v>
      </c>
      <c r="N189" s="11">
        <v>15290194</v>
      </c>
      <c r="O189" s="11">
        <v>37183349</v>
      </c>
      <c r="P189" s="11">
        <f>+J189-O189</f>
        <v>5034255.8999999985</v>
      </c>
      <c r="Q189" s="11">
        <f>+M189</f>
        <v>15508295</v>
      </c>
      <c r="R189" s="11">
        <f>+K189-M189</f>
        <v>15290194</v>
      </c>
      <c r="S189" s="111"/>
      <c r="T189" s="113"/>
      <c r="U189" s="113"/>
      <c r="V189" s="113"/>
      <c r="W189" s="113"/>
      <c r="X189" s="113"/>
      <c r="Y189" s="113"/>
      <c r="Z189" s="113"/>
      <c r="AA189" s="113"/>
    </row>
    <row r="190" spans="1:27" s="70" customFormat="1" x14ac:dyDescent="0.25">
      <c r="A190" s="99" t="s">
        <v>367</v>
      </c>
      <c r="B190" s="1" t="s">
        <v>368</v>
      </c>
      <c r="C190" s="11">
        <v>5000000</v>
      </c>
      <c r="D190" s="11">
        <v>0</v>
      </c>
      <c r="E190" s="11">
        <v>0</v>
      </c>
      <c r="F190" s="11">
        <v>0</v>
      </c>
      <c r="G190" s="11"/>
      <c r="H190" s="11">
        <v>0</v>
      </c>
      <c r="I190" s="11">
        <v>32702706</v>
      </c>
      <c r="J190" s="11">
        <f>+C190+D190-E190-F190+G190-H190+I190</f>
        <v>37702706</v>
      </c>
      <c r="K190" s="11">
        <v>35986556</v>
      </c>
      <c r="L190" s="10">
        <f t="shared" si="45"/>
        <v>1716150</v>
      </c>
      <c r="M190" s="11">
        <v>5000000</v>
      </c>
      <c r="N190" s="11">
        <v>30986556</v>
      </c>
      <c r="O190" s="11">
        <v>37702706</v>
      </c>
      <c r="P190" s="11">
        <f>+J190-O190</f>
        <v>0</v>
      </c>
      <c r="Q190" s="11">
        <f>+M190</f>
        <v>5000000</v>
      </c>
      <c r="R190" s="11">
        <f>+K190-M190</f>
        <v>30986556</v>
      </c>
      <c r="S190" s="111"/>
      <c r="T190" s="113"/>
      <c r="U190" s="113"/>
      <c r="V190" s="113"/>
      <c r="W190" s="113"/>
      <c r="X190" s="113"/>
      <c r="Y190" s="113"/>
      <c r="Z190" s="113"/>
      <c r="AA190" s="113"/>
    </row>
    <row r="191" spans="1:27" s="183" customFormat="1" x14ac:dyDescent="0.25">
      <c r="A191" s="4" t="s">
        <v>369</v>
      </c>
      <c r="B191" s="5" t="s">
        <v>122</v>
      </c>
      <c r="C191" s="10">
        <f t="shared" ref="C191:R191" si="63">SUM(C192:C194)</f>
        <v>157000000</v>
      </c>
      <c r="D191" s="10">
        <f t="shared" si="63"/>
        <v>0</v>
      </c>
      <c r="E191" s="10">
        <f t="shared" si="63"/>
        <v>0</v>
      </c>
      <c r="F191" s="10">
        <f t="shared" si="63"/>
        <v>0</v>
      </c>
      <c r="G191" s="10">
        <f t="shared" si="63"/>
        <v>0</v>
      </c>
      <c r="H191" s="10">
        <f t="shared" si="63"/>
        <v>0</v>
      </c>
      <c r="I191" s="10">
        <f t="shared" si="63"/>
        <v>50000000</v>
      </c>
      <c r="J191" s="10">
        <f t="shared" si="63"/>
        <v>207000000</v>
      </c>
      <c r="K191" s="10">
        <f t="shared" si="63"/>
        <v>203076495</v>
      </c>
      <c r="L191" s="10">
        <f t="shared" si="45"/>
        <v>3923505</v>
      </c>
      <c r="M191" s="10">
        <f t="shared" si="63"/>
        <v>196753023.75</v>
      </c>
      <c r="N191" s="10">
        <f t="shared" si="63"/>
        <v>32043991.25</v>
      </c>
      <c r="O191" s="10">
        <f t="shared" si="63"/>
        <v>207000000</v>
      </c>
      <c r="P191" s="10">
        <f t="shared" si="63"/>
        <v>0</v>
      </c>
      <c r="Q191" s="10">
        <f t="shared" si="63"/>
        <v>196753023.75</v>
      </c>
      <c r="R191" s="10">
        <f t="shared" si="63"/>
        <v>6323471.25</v>
      </c>
      <c r="S191" s="111"/>
      <c r="T191" s="113"/>
      <c r="U191" s="113"/>
      <c r="V191" s="113"/>
      <c r="W191" s="113"/>
      <c r="X191" s="113"/>
      <c r="Y191" s="113"/>
      <c r="Z191" s="113"/>
      <c r="AA191" s="113"/>
    </row>
    <row r="192" spans="1:27" s="70" customFormat="1" x14ac:dyDescent="0.25">
      <c r="A192" s="99" t="s">
        <v>370</v>
      </c>
      <c r="B192" s="1" t="s">
        <v>371</v>
      </c>
      <c r="C192" s="11">
        <v>80000000</v>
      </c>
      <c r="D192" s="11">
        <v>0</v>
      </c>
      <c r="E192" s="11">
        <v>0</v>
      </c>
      <c r="F192" s="11">
        <v>0</v>
      </c>
      <c r="G192" s="11"/>
      <c r="H192" s="11">
        <v>0</v>
      </c>
      <c r="I192" s="11">
        <v>50000000</v>
      </c>
      <c r="J192" s="11">
        <f>+C192+D192-E192-F192+G192-H192+I192</f>
        <v>130000000</v>
      </c>
      <c r="K192" s="11">
        <v>129175048</v>
      </c>
      <c r="L192" s="10">
        <f t="shared" si="45"/>
        <v>824952</v>
      </c>
      <c r="M192" s="11">
        <f>113838656.75+11329770</f>
        <v>125168426.75</v>
      </c>
      <c r="N192" s="11">
        <v>15336391.25</v>
      </c>
      <c r="O192" s="11">
        <v>130000000</v>
      </c>
      <c r="P192" s="11">
        <f>+J192-O192</f>
        <v>0</v>
      </c>
      <c r="Q192" s="11">
        <f>+M192</f>
        <v>125168426.75</v>
      </c>
      <c r="R192" s="11">
        <f>+K192-M192</f>
        <v>4006621.25</v>
      </c>
      <c r="S192" s="111"/>
      <c r="T192" s="113"/>
      <c r="U192" s="113"/>
      <c r="V192" s="113"/>
      <c r="W192" s="113"/>
      <c r="X192" s="113"/>
      <c r="Y192" s="113"/>
      <c r="Z192" s="113"/>
      <c r="AA192" s="113"/>
    </row>
    <row r="193" spans="1:27" s="70" customFormat="1" x14ac:dyDescent="0.25">
      <c r="A193" s="99" t="s">
        <v>372</v>
      </c>
      <c r="B193" s="1" t="s">
        <v>373</v>
      </c>
      <c r="C193" s="11">
        <v>54950000</v>
      </c>
      <c r="D193" s="11">
        <v>0</v>
      </c>
      <c r="E193" s="11">
        <v>0</v>
      </c>
      <c r="F193" s="11">
        <v>0</v>
      </c>
      <c r="G193" s="11"/>
      <c r="H193" s="11">
        <v>0</v>
      </c>
      <c r="I193" s="11">
        <v>0</v>
      </c>
      <c r="J193" s="11">
        <f>+C193+D193-E193-F193+G193-H193+I193</f>
        <v>54950000</v>
      </c>
      <c r="K193" s="11">
        <v>54909330</v>
      </c>
      <c r="L193" s="10">
        <f t="shared" si="45"/>
        <v>40670</v>
      </c>
      <c r="M193" s="11">
        <f>42226674+10365806</f>
        <v>52592480</v>
      </c>
      <c r="N193" s="11">
        <v>12690854</v>
      </c>
      <c r="O193" s="11">
        <v>54950000</v>
      </c>
      <c r="P193" s="11">
        <f>+J193-O193</f>
        <v>0</v>
      </c>
      <c r="Q193" s="11">
        <f>+M193</f>
        <v>52592480</v>
      </c>
      <c r="R193" s="11">
        <f>+K193-M193</f>
        <v>2316850</v>
      </c>
      <c r="S193" s="111"/>
      <c r="T193" s="113"/>
      <c r="U193" s="113"/>
      <c r="V193" s="113"/>
      <c r="W193" s="113"/>
      <c r="X193" s="113"/>
      <c r="Y193" s="113"/>
      <c r="Z193" s="113"/>
      <c r="AA193" s="113"/>
    </row>
    <row r="194" spans="1:27" s="70" customFormat="1" x14ac:dyDescent="0.25">
      <c r="A194" s="99" t="s">
        <v>374</v>
      </c>
      <c r="B194" s="1" t="s">
        <v>354</v>
      </c>
      <c r="C194" s="11">
        <v>22050000</v>
      </c>
      <c r="D194" s="11">
        <v>0</v>
      </c>
      <c r="E194" s="11">
        <v>0</v>
      </c>
      <c r="F194" s="11">
        <v>0</v>
      </c>
      <c r="G194" s="11"/>
      <c r="H194" s="11">
        <v>0</v>
      </c>
      <c r="I194" s="11">
        <v>0</v>
      </c>
      <c r="J194" s="11">
        <f>+C194+D194-E194-F194+G194-H194+I194</f>
        <v>22050000</v>
      </c>
      <c r="K194" s="11">
        <v>18992117</v>
      </c>
      <c r="L194" s="10">
        <f t="shared" si="45"/>
        <v>3057883</v>
      </c>
      <c r="M194" s="11">
        <v>18992117</v>
      </c>
      <c r="N194" s="11">
        <v>4016746</v>
      </c>
      <c r="O194" s="11">
        <v>22050000</v>
      </c>
      <c r="P194" s="11">
        <f>+J194-O194</f>
        <v>0</v>
      </c>
      <c r="Q194" s="11">
        <f>+M194</f>
        <v>18992117</v>
      </c>
      <c r="R194" s="11">
        <f>+K194-M194</f>
        <v>0</v>
      </c>
      <c r="S194" s="111"/>
      <c r="T194" s="113"/>
      <c r="U194" s="113"/>
      <c r="V194" s="113"/>
      <c r="W194" s="113"/>
      <c r="X194" s="113"/>
      <c r="Y194" s="113"/>
      <c r="Z194" s="113"/>
      <c r="AA194" s="113"/>
    </row>
    <row r="195" spans="1:27" s="183" customFormat="1" x14ac:dyDescent="0.25">
      <c r="A195" s="4" t="s">
        <v>375</v>
      </c>
      <c r="B195" s="5" t="s">
        <v>128</v>
      </c>
      <c r="C195" s="10">
        <f t="shared" ref="C195:R195" si="64">+C196+C197</f>
        <v>80000000</v>
      </c>
      <c r="D195" s="10">
        <f t="shared" si="64"/>
        <v>0</v>
      </c>
      <c r="E195" s="10">
        <f t="shared" si="64"/>
        <v>0</v>
      </c>
      <c r="F195" s="10">
        <f t="shared" si="64"/>
        <v>0</v>
      </c>
      <c r="G195" s="10">
        <f t="shared" si="64"/>
        <v>0</v>
      </c>
      <c r="H195" s="10">
        <f t="shared" si="64"/>
        <v>0</v>
      </c>
      <c r="I195" s="10">
        <f t="shared" si="64"/>
        <v>0</v>
      </c>
      <c r="J195" s="10">
        <f t="shared" si="64"/>
        <v>80000000</v>
      </c>
      <c r="K195" s="10">
        <f t="shared" si="64"/>
        <v>52534369</v>
      </c>
      <c r="L195" s="10">
        <f t="shared" si="45"/>
        <v>27465631</v>
      </c>
      <c r="M195" s="10">
        <f t="shared" si="64"/>
        <v>54558911</v>
      </c>
      <c r="N195" s="10">
        <f t="shared" si="64"/>
        <v>0</v>
      </c>
      <c r="O195" s="10">
        <f t="shared" si="64"/>
        <v>53786866</v>
      </c>
      <c r="P195" s="10">
        <f t="shared" si="64"/>
        <v>26213134</v>
      </c>
      <c r="Q195" s="10">
        <f t="shared" si="64"/>
        <v>54558911</v>
      </c>
      <c r="R195" s="10">
        <f t="shared" si="64"/>
        <v>0</v>
      </c>
      <c r="S195" s="111"/>
      <c r="T195" s="113"/>
      <c r="U195" s="113"/>
      <c r="V195" s="113"/>
      <c r="W195" s="113"/>
      <c r="X195" s="113"/>
      <c r="Y195" s="113"/>
      <c r="Z195" s="113"/>
      <c r="AA195" s="113"/>
    </row>
    <row r="196" spans="1:27" s="70" customFormat="1" x14ac:dyDescent="0.25">
      <c r="A196" s="99" t="s">
        <v>376</v>
      </c>
      <c r="B196" s="1" t="s">
        <v>377</v>
      </c>
      <c r="C196" s="11">
        <v>12800000</v>
      </c>
      <c r="D196" s="11">
        <v>0</v>
      </c>
      <c r="E196" s="11">
        <v>0</v>
      </c>
      <c r="F196" s="11">
        <v>0</v>
      </c>
      <c r="G196" s="11"/>
      <c r="H196" s="11">
        <v>0</v>
      </c>
      <c r="I196" s="11">
        <v>0</v>
      </c>
      <c r="J196" s="11">
        <f>+C196+D196-E196-F196+G196-H196+I196</f>
        <v>12800000</v>
      </c>
      <c r="K196" s="11">
        <v>0</v>
      </c>
      <c r="L196" s="10">
        <f t="shared" si="45"/>
        <v>12800000</v>
      </c>
      <c r="M196" s="11">
        <v>0</v>
      </c>
      <c r="N196" s="11">
        <v>0</v>
      </c>
      <c r="O196" s="11">
        <v>0</v>
      </c>
      <c r="P196" s="11">
        <f>+J196-O196</f>
        <v>12800000</v>
      </c>
      <c r="Q196" s="11">
        <f>+M196</f>
        <v>0</v>
      </c>
      <c r="R196" s="11">
        <f>+N196</f>
        <v>0</v>
      </c>
      <c r="S196" s="111"/>
      <c r="T196" s="113"/>
      <c r="U196" s="113"/>
      <c r="V196" s="113"/>
      <c r="W196" s="113"/>
      <c r="X196" s="113"/>
      <c r="Y196" s="113"/>
      <c r="Z196" s="113"/>
      <c r="AA196" s="113"/>
    </row>
    <row r="197" spans="1:27" s="70" customFormat="1" x14ac:dyDescent="0.25">
      <c r="A197" s="99" t="s">
        <v>378</v>
      </c>
      <c r="B197" s="1" t="s">
        <v>354</v>
      </c>
      <c r="C197" s="11">
        <v>67200000</v>
      </c>
      <c r="D197" s="11">
        <v>0</v>
      </c>
      <c r="E197" s="11">
        <v>0</v>
      </c>
      <c r="F197" s="11">
        <v>0</v>
      </c>
      <c r="G197" s="11"/>
      <c r="H197" s="11">
        <v>0</v>
      </c>
      <c r="I197" s="11">
        <v>0</v>
      </c>
      <c r="J197" s="11">
        <f>+C197+D197-E197-F197+G197-H197+I197</f>
        <v>67200000</v>
      </c>
      <c r="K197" s="11">
        <v>52534369</v>
      </c>
      <c r="L197" s="10">
        <f t="shared" si="45"/>
        <v>14665631</v>
      </c>
      <c r="M197" s="11">
        <v>54558911</v>
      </c>
      <c r="N197" s="11">
        <v>0</v>
      </c>
      <c r="O197" s="11">
        <v>53786866</v>
      </c>
      <c r="P197" s="11">
        <f>+J197-O197</f>
        <v>13413134</v>
      </c>
      <c r="Q197" s="11">
        <f>+M197</f>
        <v>54558911</v>
      </c>
      <c r="R197" s="11">
        <f>+N197</f>
        <v>0</v>
      </c>
      <c r="S197" s="111"/>
      <c r="T197" s="113"/>
      <c r="U197" s="113"/>
      <c r="V197" s="113"/>
      <c r="W197" s="113"/>
      <c r="X197" s="113"/>
      <c r="Y197" s="113"/>
      <c r="Z197" s="113"/>
      <c r="AA197" s="113"/>
    </row>
    <row r="198" spans="1:27" s="183" customFormat="1" x14ac:dyDescent="0.25">
      <c r="A198" s="4" t="s">
        <v>379</v>
      </c>
      <c r="B198" s="5" t="s">
        <v>380</v>
      </c>
      <c r="C198" s="10">
        <f t="shared" ref="C198:R198" si="65">+C199+C200</f>
        <v>47000000</v>
      </c>
      <c r="D198" s="10">
        <f t="shared" si="65"/>
        <v>0</v>
      </c>
      <c r="E198" s="10">
        <f t="shared" si="65"/>
        <v>0</v>
      </c>
      <c r="F198" s="10">
        <f t="shared" si="65"/>
        <v>0</v>
      </c>
      <c r="G198" s="10">
        <f t="shared" si="65"/>
        <v>0</v>
      </c>
      <c r="H198" s="10">
        <f t="shared" si="65"/>
        <v>0</v>
      </c>
      <c r="I198" s="10">
        <f t="shared" si="65"/>
        <v>0</v>
      </c>
      <c r="J198" s="10">
        <f t="shared" si="65"/>
        <v>47000000</v>
      </c>
      <c r="K198" s="10">
        <f t="shared" si="65"/>
        <v>46800000</v>
      </c>
      <c r="L198" s="10">
        <f t="shared" ref="L198:L261" si="66">+J198-K198</f>
        <v>200000</v>
      </c>
      <c r="M198" s="10">
        <f t="shared" si="65"/>
        <v>35117183.369999997</v>
      </c>
      <c r="N198" s="10">
        <f t="shared" si="65"/>
        <v>36576520.810000002</v>
      </c>
      <c r="O198" s="10">
        <f t="shared" si="65"/>
        <v>47000000</v>
      </c>
      <c r="P198" s="10">
        <f t="shared" si="65"/>
        <v>0</v>
      </c>
      <c r="Q198" s="10">
        <f t="shared" si="65"/>
        <v>35117183.369999997</v>
      </c>
      <c r="R198" s="10">
        <f t="shared" si="65"/>
        <v>11682816.630000001</v>
      </c>
      <c r="S198" s="111"/>
      <c r="T198" s="113"/>
      <c r="U198" s="113"/>
      <c r="V198" s="113"/>
      <c r="W198" s="113"/>
      <c r="X198" s="113"/>
      <c r="Y198" s="113"/>
      <c r="Z198" s="113"/>
      <c r="AA198" s="113"/>
    </row>
    <row r="199" spans="1:27" s="70" customFormat="1" x14ac:dyDescent="0.25">
      <c r="A199" s="99" t="s">
        <v>381</v>
      </c>
      <c r="B199" s="1" t="s">
        <v>334</v>
      </c>
      <c r="C199" s="11">
        <v>18800000</v>
      </c>
      <c r="D199" s="11">
        <v>0</v>
      </c>
      <c r="E199" s="11">
        <v>0</v>
      </c>
      <c r="F199" s="11">
        <v>0</v>
      </c>
      <c r="G199" s="11"/>
      <c r="H199" s="11">
        <v>0</v>
      </c>
      <c r="I199" s="11">
        <v>0</v>
      </c>
      <c r="J199" s="11">
        <f>+C199+D199-E199-F199+G199-H199+I199</f>
        <v>18800000</v>
      </c>
      <c r="K199" s="11">
        <v>18600000</v>
      </c>
      <c r="L199" s="10">
        <f t="shared" si="66"/>
        <v>200000</v>
      </c>
      <c r="M199" s="11">
        <v>18600000</v>
      </c>
      <c r="N199" s="11">
        <v>8800000</v>
      </c>
      <c r="O199" s="11">
        <v>18800000</v>
      </c>
      <c r="P199" s="11">
        <f>+J199-O199</f>
        <v>0</v>
      </c>
      <c r="Q199" s="11">
        <f>+M199</f>
        <v>18600000</v>
      </c>
      <c r="R199" s="11">
        <f>+K199-M199</f>
        <v>0</v>
      </c>
      <c r="S199" s="111"/>
      <c r="T199" s="113"/>
      <c r="U199" s="113"/>
      <c r="V199" s="113"/>
      <c r="W199" s="113"/>
      <c r="X199" s="113"/>
      <c r="Y199" s="113"/>
      <c r="Z199" s="113"/>
      <c r="AA199" s="113"/>
    </row>
    <row r="200" spans="1:27" s="70" customFormat="1" x14ac:dyDescent="0.25">
      <c r="A200" s="99" t="s">
        <v>382</v>
      </c>
      <c r="B200" s="1" t="s">
        <v>354</v>
      </c>
      <c r="C200" s="11">
        <v>28200000</v>
      </c>
      <c r="D200" s="11">
        <v>0</v>
      </c>
      <c r="E200" s="11">
        <v>0</v>
      </c>
      <c r="F200" s="11">
        <v>0</v>
      </c>
      <c r="G200" s="11"/>
      <c r="H200" s="11">
        <v>0</v>
      </c>
      <c r="I200" s="11">
        <v>0</v>
      </c>
      <c r="J200" s="11">
        <f>+C200+D200-E200-F200+G200-H200+I200</f>
        <v>28200000</v>
      </c>
      <c r="K200" s="11">
        <v>28200000</v>
      </c>
      <c r="L200" s="10">
        <f t="shared" si="66"/>
        <v>0</v>
      </c>
      <c r="M200" s="11">
        <f>423479.37+16093704</f>
        <v>16517183.369999999</v>
      </c>
      <c r="N200" s="11">
        <v>27776520.809999999</v>
      </c>
      <c r="O200" s="11">
        <v>28200000</v>
      </c>
      <c r="P200" s="11">
        <f>+J200-O200</f>
        <v>0</v>
      </c>
      <c r="Q200" s="11">
        <f>+M200</f>
        <v>16517183.369999999</v>
      </c>
      <c r="R200" s="11">
        <f>+K200-M200</f>
        <v>11682816.630000001</v>
      </c>
      <c r="S200" s="111"/>
      <c r="T200" s="113"/>
      <c r="U200" s="113"/>
      <c r="V200" s="113"/>
      <c r="W200" s="113"/>
      <c r="X200" s="113"/>
      <c r="Y200" s="113"/>
      <c r="Z200" s="113"/>
      <c r="AA200" s="113"/>
    </row>
    <row r="201" spans="1:27" s="183" customFormat="1" x14ac:dyDescent="0.25">
      <c r="A201" s="4" t="s">
        <v>383</v>
      </c>
      <c r="B201" s="5" t="s">
        <v>136</v>
      </c>
      <c r="C201" s="10">
        <f t="shared" ref="C201:R201" si="67">+C202</f>
        <v>656670951</v>
      </c>
      <c r="D201" s="10">
        <f t="shared" si="67"/>
        <v>0</v>
      </c>
      <c r="E201" s="10">
        <f t="shared" si="67"/>
        <v>0</v>
      </c>
      <c r="F201" s="10">
        <f t="shared" si="67"/>
        <v>0</v>
      </c>
      <c r="G201" s="10">
        <f t="shared" si="67"/>
        <v>0</v>
      </c>
      <c r="H201" s="10">
        <f t="shared" si="67"/>
        <v>0</v>
      </c>
      <c r="I201" s="10">
        <f t="shared" si="67"/>
        <v>0</v>
      </c>
      <c r="J201" s="10">
        <f t="shared" si="67"/>
        <v>656670951</v>
      </c>
      <c r="K201" s="10">
        <f t="shared" si="67"/>
        <v>627722804.72000003</v>
      </c>
      <c r="L201" s="10">
        <f t="shared" si="66"/>
        <v>28948146.279999971</v>
      </c>
      <c r="M201" s="10">
        <f t="shared" si="67"/>
        <v>455482719.60000002</v>
      </c>
      <c r="N201" s="10">
        <f t="shared" si="67"/>
        <v>173772992.12</v>
      </c>
      <c r="O201" s="10">
        <f t="shared" si="67"/>
        <v>651720782.72000003</v>
      </c>
      <c r="P201" s="10">
        <f t="shared" si="67"/>
        <v>4950168.2799999714</v>
      </c>
      <c r="Q201" s="10">
        <f t="shared" si="67"/>
        <v>455482719.60000002</v>
      </c>
      <c r="R201" s="10">
        <f t="shared" si="67"/>
        <v>172240085.12</v>
      </c>
      <c r="S201" s="111"/>
      <c r="T201" s="113"/>
      <c r="U201" s="113"/>
      <c r="V201" s="113"/>
      <c r="W201" s="113"/>
      <c r="X201" s="113"/>
      <c r="Y201" s="113"/>
      <c r="Z201" s="113"/>
      <c r="AA201" s="113"/>
    </row>
    <row r="202" spans="1:27" s="70" customFormat="1" x14ac:dyDescent="0.25">
      <c r="A202" s="99" t="s">
        <v>384</v>
      </c>
      <c r="B202" s="1" t="s">
        <v>334</v>
      </c>
      <c r="C202" s="11">
        <v>656670951</v>
      </c>
      <c r="D202" s="11">
        <v>0</v>
      </c>
      <c r="E202" s="11">
        <v>0</v>
      </c>
      <c r="F202" s="11">
        <v>0</v>
      </c>
      <c r="G202" s="11"/>
      <c r="H202" s="11">
        <v>0</v>
      </c>
      <c r="I202" s="11">
        <v>0</v>
      </c>
      <c r="J202" s="11">
        <f>+C202+D202-E202-F202+G202-H202+I202</f>
        <v>656670951</v>
      </c>
      <c r="K202" s="11">
        <v>627722804.72000003</v>
      </c>
      <c r="L202" s="10">
        <f t="shared" si="66"/>
        <v>28948146.279999971</v>
      </c>
      <c r="M202" s="11">
        <f>458957069.6-3474350</f>
        <v>455482719.60000002</v>
      </c>
      <c r="N202" s="11">
        <v>173772992.12</v>
      </c>
      <c r="O202" s="11">
        <v>651720782.72000003</v>
      </c>
      <c r="P202" s="11">
        <f>+J202-O202</f>
        <v>4950168.2799999714</v>
      </c>
      <c r="Q202" s="11">
        <f>+M202</f>
        <v>455482719.60000002</v>
      </c>
      <c r="R202" s="11">
        <f>+K202-M202</f>
        <v>172240085.12</v>
      </c>
      <c r="S202" s="111"/>
      <c r="T202" s="113"/>
      <c r="U202" s="113"/>
      <c r="V202" s="113"/>
      <c r="W202" s="113"/>
      <c r="X202" s="113"/>
      <c r="Y202" s="113"/>
      <c r="Z202" s="113"/>
      <c r="AA202" s="113"/>
    </row>
    <row r="203" spans="1:27" s="183" customFormat="1" x14ac:dyDescent="0.25">
      <c r="A203" s="4" t="s">
        <v>385</v>
      </c>
      <c r="B203" s="5" t="s">
        <v>386</v>
      </c>
      <c r="C203" s="10">
        <f t="shared" ref="C203:R203" si="68">+C204+C208+C210+C214+C217</f>
        <v>1000</v>
      </c>
      <c r="D203" s="10">
        <f t="shared" si="68"/>
        <v>0</v>
      </c>
      <c r="E203" s="10">
        <f t="shared" si="68"/>
        <v>0</v>
      </c>
      <c r="F203" s="10">
        <f t="shared" si="68"/>
        <v>0</v>
      </c>
      <c r="G203" s="10">
        <f t="shared" si="68"/>
        <v>0</v>
      </c>
      <c r="H203" s="10">
        <f t="shared" si="68"/>
        <v>0</v>
      </c>
      <c r="I203" s="10">
        <f t="shared" si="68"/>
        <v>790611297.80999994</v>
      </c>
      <c r="J203" s="10">
        <f t="shared" si="68"/>
        <v>790612297.80999994</v>
      </c>
      <c r="K203" s="10">
        <f t="shared" si="68"/>
        <v>578652526</v>
      </c>
      <c r="L203" s="10">
        <f t="shared" si="66"/>
        <v>211959771.80999994</v>
      </c>
      <c r="M203" s="10">
        <f t="shared" si="68"/>
        <v>439003796.5</v>
      </c>
      <c r="N203" s="10">
        <f t="shared" si="68"/>
        <v>169134309.5</v>
      </c>
      <c r="O203" s="10">
        <f t="shared" si="68"/>
        <v>618059753.80999994</v>
      </c>
      <c r="P203" s="10">
        <f t="shared" si="68"/>
        <v>172552544</v>
      </c>
      <c r="Q203" s="10">
        <f t="shared" si="68"/>
        <v>439003796.5</v>
      </c>
      <c r="R203" s="10">
        <f t="shared" si="68"/>
        <v>139648729.5</v>
      </c>
      <c r="S203" s="111"/>
      <c r="T203" s="113"/>
      <c r="U203" s="113"/>
      <c r="V203" s="113"/>
      <c r="W203" s="113"/>
      <c r="X203" s="113"/>
      <c r="Y203" s="113"/>
      <c r="Z203" s="113"/>
      <c r="AA203" s="113"/>
    </row>
    <row r="204" spans="1:27" s="183" customFormat="1" x14ac:dyDescent="0.25">
      <c r="A204" s="4" t="s">
        <v>387</v>
      </c>
      <c r="B204" s="5" t="s">
        <v>388</v>
      </c>
      <c r="C204" s="10">
        <f t="shared" ref="C204:R204" si="69">+C205+C206+C207</f>
        <v>0</v>
      </c>
      <c r="D204" s="10">
        <f t="shared" si="69"/>
        <v>0</v>
      </c>
      <c r="E204" s="10">
        <f t="shared" si="69"/>
        <v>0</v>
      </c>
      <c r="F204" s="10">
        <f t="shared" si="69"/>
        <v>0</v>
      </c>
      <c r="G204" s="10">
        <f t="shared" si="69"/>
        <v>0</v>
      </c>
      <c r="H204" s="10">
        <f t="shared" si="69"/>
        <v>0</v>
      </c>
      <c r="I204" s="10">
        <f t="shared" si="69"/>
        <v>23607255.810000002</v>
      </c>
      <c r="J204" s="10">
        <f t="shared" si="69"/>
        <v>23607255.810000002</v>
      </c>
      <c r="K204" s="10">
        <f t="shared" si="69"/>
        <v>17299781</v>
      </c>
      <c r="L204" s="10">
        <f t="shared" si="66"/>
        <v>6307474.8100000024</v>
      </c>
      <c r="M204" s="10">
        <f t="shared" si="69"/>
        <v>17299781</v>
      </c>
      <c r="N204" s="10">
        <f t="shared" si="69"/>
        <v>17299781</v>
      </c>
      <c r="O204" s="10">
        <f t="shared" si="69"/>
        <v>23607255.810000002</v>
      </c>
      <c r="P204" s="10">
        <f t="shared" si="69"/>
        <v>0</v>
      </c>
      <c r="Q204" s="10">
        <f t="shared" si="69"/>
        <v>17299781</v>
      </c>
      <c r="R204" s="10">
        <f t="shared" si="69"/>
        <v>0</v>
      </c>
      <c r="S204" s="111"/>
      <c r="T204" s="113"/>
      <c r="U204" s="113"/>
      <c r="V204" s="113"/>
      <c r="W204" s="113"/>
      <c r="X204" s="113"/>
      <c r="Y204" s="113"/>
      <c r="Z204" s="113"/>
      <c r="AA204" s="113"/>
    </row>
    <row r="205" spans="1:27" s="70" customFormat="1" x14ac:dyDescent="0.25">
      <c r="A205" s="99" t="s">
        <v>389</v>
      </c>
      <c r="B205" s="1" t="s">
        <v>390</v>
      </c>
      <c r="C205" s="11">
        <v>0</v>
      </c>
      <c r="D205" s="11">
        <v>0</v>
      </c>
      <c r="E205" s="11">
        <v>0</v>
      </c>
      <c r="F205" s="11">
        <v>0</v>
      </c>
      <c r="G205" s="11"/>
      <c r="H205" s="11">
        <v>0</v>
      </c>
      <c r="I205" s="11">
        <v>9612185.0700000003</v>
      </c>
      <c r="J205" s="11">
        <f>+C205+D205-E205-F205+G205-H205+I205</f>
        <v>9612185.0700000003</v>
      </c>
      <c r="K205" s="11">
        <v>9603360.2599999998</v>
      </c>
      <c r="L205" s="10">
        <f t="shared" si="66"/>
        <v>8824.8100000005215</v>
      </c>
      <c r="M205" s="11">
        <v>9603360.2599999998</v>
      </c>
      <c r="N205" s="11">
        <v>9603360.2599999998</v>
      </c>
      <c r="O205" s="11">
        <v>9612185.0700000003</v>
      </c>
      <c r="P205" s="11">
        <f>+J205-O205</f>
        <v>0</v>
      </c>
      <c r="Q205" s="11">
        <f>+M205</f>
        <v>9603360.2599999998</v>
      </c>
      <c r="R205" s="11">
        <f>+K205-M205</f>
        <v>0</v>
      </c>
      <c r="S205" s="111"/>
      <c r="T205" s="113"/>
      <c r="U205" s="113"/>
      <c r="V205" s="113"/>
      <c r="W205" s="113"/>
      <c r="X205" s="113"/>
      <c r="Y205" s="113"/>
      <c r="Z205" s="113"/>
      <c r="AA205" s="113"/>
    </row>
    <row r="206" spans="1:27" s="70" customFormat="1" x14ac:dyDescent="0.25">
      <c r="A206" s="99" t="s">
        <v>391</v>
      </c>
      <c r="B206" s="1" t="s">
        <v>392</v>
      </c>
      <c r="C206" s="11">
        <v>0</v>
      </c>
      <c r="D206" s="11">
        <v>0</v>
      </c>
      <c r="E206" s="11">
        <v>0</v>
      </c>
      <c r="F206" s="11">
        <v>0</v>
      </c>
      <c r="G206" s="11"/>
      <c r="H206" s="11">
        <v>0</v>
      </c>
      <c r="I206" s="11">
        <v>7259620.7400000002</v>
      </c>
      <c r="J206" s="11">
        <f>+C206+D206-E206-F206+G206-H206+I206</f>
        <v>7259620.7400000002</v>
      </c>
      <c r="K206" s="11">
        <v>7259620.7400000002</v>
      </c>
      <c r="L206" s="10">
        <f t="shared" si="66"/>
        <v>0</v>
      </c>
      <c r="M206" s="11">
        <v>7259620.7400000002</v>
      </c>
      <c r="N206" s="11">
        <v>7259620.7400000002</v>
      </c>
      <c r="O206" s="11">
        <v>7259620.7400000002</v>
      </c>
      <c r="P206" s="11">
        <f>+J206-O206</f>
        <v>0</v>
      </c>
      <c r="Q206" s="11">
        <f>+M206</f>
        <v>7259620.7400000002</v>
      </c>
      <c r="R206" s="11">
        <f>+K206-M206</f>
        <v>0</v>
      </c>
      <c r="S206" s="111"/>
      <c r="T206" s="113"/>
      <c r="U206" s="113"/>
      <c r="V206" s="113"/>
      <c r="W206" s="113"/>
      <c r="X206" s="113"/>
      <c r="Y206" s="113"/>
      <c r="Z206" s="113"/>
      <c r="AA206" s="113"/>
    </row>
    <row r="207" spans="1:27" s="70" customFormat="1" x14ac:dyDescent="0.25">
      <c r="A207" s="99" t="s">
        <v>393</v>
      </c>
      <c r="B207" s="1" t="s">
        <v>394</v>
      </c>
      <c r="C207" s="11">
        <v>0</v>
      </c>
      <c r="D207" s="11">
        <v>0</v>
      </c>
      <c r="E207" s="11">
        <v>0</v>
      </c>
      <c r="F207" s="11">
        <v>0</v>
      </c>
      <c r="G207" s="11"/>
      <c r="H207" s="11">
        <v>0</v>
      </c>
      <c r="I207" s="11">
        <v>6735450</v>
      </c>
      <c r="J207" s="11">
        <f>+C207+D207-E207-F207+G207-H207+I207</f>
        <v>6735450</v>
      </c>
      <c r="K207" s="11">
        <v>436800</v>
      </c>
      <c r="L207" s="10">
        <f t="shared" si="66"/>
        <v>6298650</v>
      </c>
      <c r="M207" s="11">
        <v>436800</v>
      </c>
      <c r="N207" s="11">
        <v>436800</v>
      </c>
      <c r="O207" s="11">
        <v>6735450</v>
      </c>
      <c r="P207" s="11">
        <f>+J207-O207</f>
        <v>0</v>
      </c>
      <c r="Q207" s="11">
        <f>+M207</f>
        <v>436800</v>
      </c>
      <c r="R207" s="11">
        <f>+K207-M207</f>
        <v>0</v>
      </c>
      <c r="S207" s="111"/>
      <c r="T207" s="113"/>
      <c r="U207" s="113"/>
      <c r="V207" s="113"/>
      <c r="W207" s="113"/>
      <c r="X207" s="113"/>
      <c r="Y207" s="113"/>
      <c r="Z207" s="113"/>
      <c r="AA207" s="113"/>
    </row>
    <row r="208" spans="1:27" s="183" customFormat="1" x14ac:dyDescent="0.25">
      <c r="A208" s="4" t="s">
        <v>395</v>
      </c>
      <c r="B208" s="5" t="s">
        <v>344</v>
      </c>
      <c r="C208" s="10">
        <f t="shared" ref="C208:R208" si="70">+C209</f>
        <v>0</v>
      </c>
      <c r="D208" s="10">
        <f t="shared" si="70"/>
        <v>0</v>
      </c>
      <c r="E208" s="10">
        <f t="shared" si="70"/>
        <v>0</v>
      </c>
      <c r="F208" s="10">
        <f t="shared" si="70"/>
        <v>0</v>
      </c>
      <c r="G208" s="10">
        <f t="shared" si="70"/>
        <v>0</v>
      </c>
      <c r="H208" s="10">
        <f t="shared" si="70"/>
        <v>0</v>
      </c>
      <c r="I208" s="10">
        <f t="shared" si="70"/>
        <v>96950161</v>
      </c>
      <c r="J208" s="10">
        <f t="shared" si="70"/>
        <v>96950161</v>
      </c>
      <c r="K208" s="10">
        <f t="shared" si="70"/>
        <v>50463457</v>
      </c>
      <c r="L208" s="10">
        <f t="shared" si="66"/>
        <v>46486704</v>
      </c>
      <c r="M208" s="10">
        <f t="shared" si="70"/>
        <v>50463457</v>
      </c>
      <c r="N208" s="10">
        <f t="shared" si="70"/>
        <v>0</v>
      </c>
      <c r="O208" s="10">
        <f t="shared" si="70"/>
        <v>54816404</v>
      </c>
      <c r="P208" s="10">
        <f t="shared" si="70"/>
        <v>42133757</v>
      </c>
      <c r="Q208" s="10">
        <f t="shared" si="70"/>
        <v>50463457</v>
      </c>
      <c r="R208" s="10">
        <f t="shared" si="70"/>
        <v>0</v>
      </c>
      <c r="S208" s="111"/>
      <c r="T208" s="113"/>
      <c r="U208" s="113"/>
      <c r="V208" s="113"/>
      <c r="W208" s="113"/>
      <c r="X208" s="113"/>
      <c r="Y208" s="113"/>
      <c r="Z208" s="113"/>
      <c r="AA208" s="113"/>
    </row>
    <row r="209" spans="1:27" s="70" customFormat="1" x14ac:dyDescent="0.25">
      <c r="A209" s="99" t="s">
        <v>396</v>
      </c>
      <c r="B209" s="1" t="s">
        <v>397</v>
      </c>
      <c r="C209" s="11">
        <v>0</v>
      </c>
      <c r="D209" s="11">
        <v>0</v>
      </c>
      <c r="E209" s="11">
        <v>0</v>
      </c>
      <c r="F209" s="11">
        <v>0</v>
      </c>
      <c r="G209" s="11"/>
      <c r="H209" s="11">
        <v>0</v>
      </c>
      <c r="I209" s="11">
        <v>96950161</v>
      </c>
      <c r="J209" s="11">
        <f>+C209+D209-E209-F209+G209-H209+I209</f>
        <v>96950161</v>
      </c>
      <c r="K209" s="11">
        <v>50463457</v>
      </c>
      <c r="L209" s="10">
        <f t="shared" si="66"/>
        <v>46486704</v>
      </c>
      <c r="M209" s="11">
        <v>50463457</v>
      </c>
      <c r="N209" s="11">
        <v>0</v>
      </c>
      <c r="O209" s="11">
        <v>54816404</v>
      </c>
      <c r="P209" s="11">
        <f>+J209-O209</f>
        <v>42133757</v>
      </c>
      <c r="Q209" s="11">
        <f>+M209</f>
        <v>50463457</v>
      </c>
      <c r="R209" s="11">
        <f>+K209-M209</f>
        <v>0</v>
      </c>
      <c r="S209" s="111"/>
      <c r="T209" s="113"/>
      <c r="U209" s="113"/>
      <c r="V209" s="113"/>
      <c r="W209" s="113"/>
      <c r="X209" s="113"/>
      <c r="Y209" s="113"/>
      <c r="Z209" s="113"/>
      <c r="AA209" s="113"/>
    </row>
    <row r="210" spans="1:27" s="183" customFormat="1" x14ac:dyDescent="0.25">
      <c r="A210" s="4" t="s">
        <v>398</v>
      </c>
      <c r="B210" s="5" t="s">
        <v>98</v>
      </c>
      <c r="C210" s="10">
        <f t="shared" ref="C210:R210" si="71">+C211+C212+C213</f>
        <v>0</v>
      </c>
      <c r="D210" s="10">
        <f t="shared" si="71"/>
        <v>0</v>
      </c>
      <c r="E210" s="10">
        <f t="shared" si="71"/>
        <v>0</v>
      </c>
      <c r="F210" s="10">
        <f t="shared" si="71"/>
        <v>0</v>
      </c>
      <c r="G210" s="10">
        <f t="shared" si="71"/>
        <v>0</v>
      </c>
      <c r="H210" s="10">
        <f t="shared" si="71"/>
        <v>0</v>
      </c>
      <c r="I210" s="10">
        <f t="shared" si="71"/>
        <v>426708548</v>
      </c>
      <c r="J210" s="10">
        <f t="shared" si="71"/>
        <v>426708548</v>
      </c>
      <c r="K210" s="10">
        <f t="shared" si="71"/>
        <v>350165948</v>
      </c>
      <c r="L210" s="10">
        <f t="shared" si="66"/>
        <v>76542600</v>
      </c>
      <c r="M210" s="10">
        <f t="shared" si="71"/>
        <v>223419082</v>
      </c>
      <c r="N210" s="10">
        <f t="shared" si="71"/>
        <v>126746866</v>
      </c>
      <c r="O210" s="10">
        <f t="shared" si="71"/>
        <v>364520955</v>
      </c>
      <c r="P210" s="10">
        <f t="shared" si="71"/>
        <v>62187593</v>
      </c>
      <c r="Q210" s="10">
        <f t="shared" si="71"/>
        <v>223419082</v>
      </c>
      <c r="R210" s="10">
        <f t="shared" si="71"/>
        <v>126746866</v>
      </c>
      <c r="S210" s="123"/>
      <c r="T210" s="113"/>
      <c r="U210" s="113"/>
      <c r="V210" s="113"/>
      <c r="W210" s="113"/>
      <c r="X210" s="113"/>
      <c r="Y210" s="113"/>
      <c r="Z210" s="113"/>
      <c r="AA210" s="113"/>
    </row>
    <row r="211" spans="1:27" s="70" customFormat="1" x14ac:dyDescent="0.25">
      <c r="A211" s="99" t="s">
        <v>399</v>
      </c>
      <c r="B211" s="1" t="s">
        <v>400</v>
      </c>
      <c r="C211" s="11">
        <v>0</v>
      </c>
      <c r="D211" s="11">
        <v>0</v>
      </c>
      <c r="E211" s="11">
        <v>0</v>
      </c>
      <c r="F211" s="11">
        <v>0</v>
      </c>
      <c r="G211" s="11"/>
      <c r="H211" s="11">
        <v>0</v>
      </c>
      <c r="I211" s="11">
        <v>28366800</v>
      </c>
      <c r="J211" s="11">
        <f>+C211+D211-E211-F211+G211-H211+I211</f>
        <v>28366800</v>
      </c>
      <c r="K211" s="11">
        <v>26100000</v>
      </c>
      <c r="L211" s="10">
        <f t="shared" si="66"/>
        <v>2266800</v>
      </c>
      <c r="M211" s="11">
        <v>26100000</v>
      </c>
      <c r="N211" s="11">
        <v>0</v>
      </c>
      <c r="O211" s="11">
        <v>26100000</v>
      </c>
      <c r="P211" s="11">
        <f>+J211-O211</f>
        <v>2266800</v>
      </c>
      <c r="Q211" s="11">
        <f>+M211</f>
        <v>26100000</v>
      </c>
      <c r="R211" s="11">
        <f>+K211-M211</f>
        <v>0</v>
      </c>
      <c r="S211" s="111"/>
      <c r="T211" s="113"/>
      <c r="U211" s="113"/>
      <c r="V211" s="113"/>
      <c r="W211" s="113"/>
      <c r="X211" s="113"/>
      <c r="Y211" s="113"/>
      <c r="Z211" s="113"/>
      <c r="AA211" s="113"/>
    </row>
    <row r="212" spans="1:27" s="70" customFormat="1" x14ac:dyDescent="0.25">
      <c r="A212" s="99" t="s">
        <v>401</v>
      </c>
      <c r="B212" s="1" t="s">
        <v>402</v>
      </c>
      <c r="C212" s="11">
        <v>0</v>
      </c>
      <c r="D212" s="11">
        <v>0</v>
      </c>
      <c r="E212" s="11">
        <v>0</v>
      </c>
      <c r="F212" s="11">
        <v>0</v>
      </c>
      <c r="G212" s="11"/>
      <c r="H212" s="11">
        <v>0</v>
      </c>
      <c r="I212" s="11">
        <v>121200000</v>
      </c>
      <c r="J212" s="11">
        <f>+C212+D212-E212-F212+G212-H212+I212</f>
        <v>121200000</v>
      </c>
      <c r="K212" s="11">
        <v>64969394</v>
      </c>
      <c r="L212" s="10">
        <f t="shared" si="66"/>
        <v>56230606</v>
      </c>
      <c r="M212" s="11">
        <v>64969394</v>
      </c>
      <c r="N212" s="11">
        <v>0</v>
      </c>
      <c r="O212" s="11">
        <v>64969385</v>
      </c>
      <c r="P212" s="11">
        <f>+J212-O212</f>
        <v>56230615</v>
      </c>
      <c r="Q212" s="11">
        <f>+M212</f>
        <v>64969394</v>
      </c>
      <c r="R212" s="11">
        <f>+K212-M212</f>
        <v>0</v>
      </c>
      <c r="S212" s="111"/>
      <c r="T212" s="113"/>
      <c r="U212" s="113"/>
      <c r="V212" s="113"/>
      <c r="W212" s="113"/>
      <c r="X212" s="113"/>
      <c r="Y212" s="113"/>
      <c r="Z212" s="113"/>
      <c r="AA212" s="113"/>
    </row>
    <row r="213" spans="1:27" s="70" customFormat="1" x14ac:dyDescent="0.25">
      <c r="A213" s="99" t="s">
        <v>403</v>
      </c>
      <c r="B213" s="1" t="s">
        <v>404</v>
      </c>
      <c r="C213" s="11">
        <v>0</v>
      </c>
      <c r="D213" s="11">
        <v>0</v>
      </c>
      <c r="E213" s="11">
        <v>0</v>
      </c>
      <c r="F213" s="11">
        <v>0</v>
      </c>
      <c r="G213" s="11"/>
      <c r="H213" s="11">
        <v>0</v>
      </c>
      <c r="I213" s="11">
        <v>277141748</v>
      </c>
      <c r="J213" s="11">
        <f>+C213+D213-E213-F213+G213-H213+I213</f>
        <v>277141748</v>
      </c>
      <c r="K213" s="11">
        <v>259096554</v>
      </c>
      <c r="L213" s="10">
        <f t="shared" si="66"/>
        <v>18045194</v>
      </c>
      <c r="M213" s="11">
        <v>132349688</v>
      </c>
      <c r="N213" s="11">
        <v>126746866</v>
      </c>
      <c r="O213" s="11">
        <v>273451570</v>
      </c>
      <c r="P213" s="11">
        <f>+J213-O213</f>
        <v>3690178</v>
      </c>
      <c r="Q213" s="11">
        <f>+M213</f>
        <v>132349688</v>
      </c>
      <c r="R213" s="11">
        <f>+K213-M213</f>
        <v>126746866</v>
      </c>
      <c r="S213" s="111"/>
      <c r="T213" s="113"/>
      <c r="U213" s="113"/>
      <c r="V213" s="113"/>
      <c r="W213" s="113"/>
      <c r="X213" s="113"/>
      <c r="Y213" s="113"/>
      <c r="Z213" s="113"/>
      <c r="AA213" s="113"/>
    </row>
    <row r="214" spans="1:27" s="183" customFormat="1" x14ac:dyDescent="0.25">
      <c r="A214" s="4" t="s">
        <v>405</v>
      </c>
      <c r="B214" s="5" t="s">
        <v>128</v>
      </c>
      <c r="C214" s="10">
        <f t="shared" ref="C214:R214" si="72">+C215+C216</f>
        <v>0</v>
      </c>
      <c r="D214" s="10">
        <f t="shared" si="72"/>
        <v>0</v>
      </c>
      <c r="E214" s="10">
        <f t="shared" si="72"/>
        <v>0</v>
      </c>
      <c r="F214" s="10">
        <f t="shared" si="72"/>
        <v>0</v>
      </c>
      <c r="G214" s="10">
        <f t="shared" si="72"/>
        <v>0</v>
      </c>
      <c r="H214" s="10">
        <f t="shared" si="72"/>
        <v>0</v>
      </c>
      <c r="I214" s="10">
        <f t="shared" si="72"/>
        <v>38000000</v>
      </c>
      <c r="J214" s="10">
        <f t="shared" si="72"/>
        <v>38000000</v>
      </c>
      <c r="K214" s="10">
        <f t="shared" si="72"/>
        <v>26845325</v>
      </c>
      <c r="L214" s="10">
        <f t="shared" si="66"/>
        <v>11154675</v>
      </c>
      <c r="M214" s="10">
        <f t="shared" si="72"/>
        <v>23135141</v>
      </c>
      <c r="N214" s="10">
        <f t="shared" si="72"/>
        <v>3919432</v>
      </c>
      <c r="O214" s="10">
        <f t="shared" si="72"/>
        <v>27008318</v>
      </c>
      <c r="P214" s="10">
        <f t="shared" si="72"/>
        <v>10991682</v>
      </c>
      <c r="Q214" s="10">
        <f t="shared" si="72"/>
        <v>23135141</v>
      </c>
      <c r="R214" s="10">
        <f t="shared" si="72"/>
        <v>3710184</v>
      </c>
      <c r="S214" s="111"/>
      <c r="T214" s="113"/>
      <c r="U214" s="113"/>
      <c r="V214" s="113"/>
      <c r="W214" s="113"/>
      <c r="X214" s="113"/>
      <c r="Y214" s="113"/>
      <c r="Z214" s="113"/>
      <c r="AA214" s="113"/>
    </row>
    <row r="215" spans="1:27" s="70" customFormat="1" x14ac:dyDescent="0.25">
      <c r="A215" s="99" t="s">
        <v>406</v>
      </c>
      <c r="B215" s="1" t="s">
        <v>407</v>
      </c>
      <c r="C215" s="11">
        <v>0</v>
      </c>
      <c r="D215" s="11">
        <v>0</v>
      </c>
      <c r="E215" s="11">
        <v>0</v>
      </c>
      <c r="F215" s="11">
        <v>0</v>
      </c>
      <c r="G215" s="11"/>
      <c r="H215" s="11">
        <v>0</v>
      </c>
      <c r="I215" s="11">
        <v>30000000</v>
      </c>
      <c r="J215" s="11">
        <f>+C215+D215-E215-F215+G215-H215+I215</f>
        <v>30000000</v>
      </c>
      <c r="K215" s="11">
        <v>26845325</v>
      </c>
      <c r="L215" s="10">
        <f t="shared" si="66"/>
        <v>3154675</v>
      </c>
      <c r="M215" s="11">
        <f>22925893+209248</f>
        <v>23135141</v>
      </c>
      <c r="N215" s="11">
        <v>3919432</v>
      </c>
      <c r="O215" s="11">
        <v>27008318</v>
      </c>
      <c r="P215" s="11">
        <f>+J215-O215</f>
        <v>2991682</v>
      </c>
      <c r="Q215" s="11">
        <f>+M215</f>
        <v>23135141</v>
      </c>
      <c r="R215" s="11">
        <f>+K215-M215</f>
        <v>3710184</v>
      </c>
      <c r="S215" s="111"/>
      <c r="T215" s="113"/>
      <c r="U215" s="113"/>
      <c r="V215" s="113"/>
      <c r="W215" s="113"/>
      <c r="X215" s="113"/>
      <c r="Y215" s="113"/>
      <c r="Z215" s="113"/>
      <c r="AA215" s="113"/>
    </row>
    <row r="216" spans="1:27" s="70" customFormat="1" x14ac:dyDescent="0.25">
      <c r="A216" s="99" t="s">
        <v>408</v>
      </c>
      <c r="B216" s="1" t="s">
        <v>409</v>
      </c>
      <c r="C216" s="11">
        <v>0</v>
      </c>
      <c r="D216" s="11">
        <v>0</v>
      </c>
      <c r="E216" s="11">
        <v>0</v>
      </c>
      <c r="F216" s="11">
        <v>0</v>
      </c>
      <c r="G216" s="11"/>
      <c r="H216" s="11">
        <v>0</v>
      </c>
      <c r="I216" s="11">
        <v>8000000</v>
      </c>
      <c r="J216" s="11">
        <f>+C216+D216-E216-F216+G216-H216+I216</f>
        <v>8000000</v>
      </c>
      <c r="K216" s="11">
        <v>0</v>
      </c>
      <c r="L216" s="10">
        <f t="shared" si="66"/>
        <v>8000000</v>
      </c>
      <c r="M216" s="11">
        <v>0</v>
      </c>
      <c r="N216" s="11">
        <v>0</v>
      </c>
      <c r="O216" s="11">
        <v>0</v>
      </c>
      <c r="P216" s="11">
        <f>+J216-O216</f>
        <v>8000000</v>
      </c>
      <c r="Q216" s="11">
        <f>+M216</f>
        <v>0</v>
      </c>
      <c r="R216" s="11">
        <f>+K216-M216</f>
        <v>0</v>
      </c>
      <c r="S216" s="111"/>
      <c r="T216" s="113"/>
      <c r="U216" s="113"/>
      <c r="V216" s="113"/>
      <c r="W216" s="113"/>
      <c r="X216" s="113"/>
      <c r="Y216" s="113"/>
      <c r="Z216" s="113"/>
      <c r="AA216" s="113"/>
    </row>
    <row r="217" spans="1:27" s="183" customFormat="1" x14ac:dyDescent="0.25">
      <c r="A217" s="4" t="s">
        <v>410</v>
      </c>
      <c r="B217" s="5" t="s">
        <v>411</v>
      </c>
      <c r="C217" s="10">
        <f t="shared" ref="C217:R217" si="73">+C218+C219+C220+C221</f>
        <v>1000</v>
      </c>
      <c r="D217" s="10">
        <f t="shared" si="73"/>
        <v>0</v>
      </c>
      <c r="E217" s="10">
        <f t="shared" si="73"/>
        <v>0</v>
      </c>
      <c r="F217" s="10">
        <f t="shared" si="73"/>
        <v>0</v>
      </c>
      <c r="G217" s="10">
        <f t="shared" si="73"/>
        <v>0</v>
      </c>
      <c r="H217" s="10">
        <f t="shared" si="73"/>
        <v>0</v>
      </c>
      <c r="I217" s="10">
        <f t="shared" si="73"/>
        <v>205345333</v>
      </c>
      <c r="J217" s="10">
        <f t="shared" si="73"/>
        <v>205346333</v>
      </c>
      <c r="K217" s="10">
        <f t="shared" si="73"/>
        <v>133878015</v>
      </c>
      <c r="L217" s="10">
        <f t="shared" si="66"/>
        <v>71468318</v>
      </c>
      <c r="M217" s="10">
        <f t="shared" si="73"/>
        <v>124686335.5</v>
      </c>
      <c r="N217" s="10">
        <f t="shared" si="73"/>
        <v>21168230.5</v>
      </c>
      <c r="O217" s="10">
        <f t="shared" si="73"/>
        <v>148106821</v>
      </c>
      <c r="P217" s="10">
        <f t="shared" si="73"/>
        <v>57239512</v>
      </c>
      <c r="Q217" s="10">
        <f t="shared" si="73"/>
        <v>124686335.5</v>
      </c>
      <c r="R217" s="10">
        <f t="shared" si="73"/>
        <v>9191679.5</v>
      </c>
      <c r="S217" s="111"/>
      <c r="T217" s="113"/>
      <c r="U217" s="113"/>
      <c r="V217" s="113"/>
      <c r="W217" s="113"/>
      <c r="X217" s="113"/>
      <c r="Y217" s="113"/>
      <c r="Z217" s="113"/>
      <c r="AA217" s="113"/>
    </row>
    <row r="218" spans="1:27" s="70" customFormat="1" x14ac:dyDescent="0.25">
      <c r="A218" s="99" t="s">
        <v>412</v>
      </c>
      <c r="B218" s="1" t="s">
        <v>413</v>
      </c>
      <c r="C218" s="11">
        <v>0</v>
      </c>
      <c r="D218" s="11">
        <v>0</v>
      </c>
      <c r="E218" s="11">
        <v>0</v>
      </c>
      <c r="F218" s="11">
        <v>0</v>
      </c>
      <c r="G218" s="11"/>
      <c r="H218" s="11">
        <v>0</v>
      </c>
      <c r="I218" s="11">
        <v>90000000</v>
      </c>
      <c r="J218" s="11">
        <f>+C218+D218-E218-F218+G218-H218+I218</f>
        <v>90000000</v>
      </c>
      <c r="K218" s="11">
        <f>47896331-11693853</f>
        <v>36202478</v>
      </c>
      <c r="L218" s="10">
        <f t="shared" si="66"/>
        <v>53797522</v>
      </c>
      <c r="M218" s="11">
        <v>27630468.5</v>
      </c>
      <c r="N218" s="11">
        <v>20265862.5</v>
      </c>
      <c r="O218" s="11">
        <v>48106821</v>
      </c>
      <c r="P218" s="11">
        <f>+J218-O218</f>
        <v>41893179</v>
      </c>
      <c r="Q218" s="11">
        <f>+M218</f>
        <v>27630468.5</v>
      </c>
      <c r="R218" s="11">
        <f>+K218-M218</f>
        <v>8572009.5</v>
      </c>
      <c r="S218" s="111"/>
      <c r="T218" s="113"/>
      <c r="U218" s="113"/>
      <c r="V218" s="113"/>
      <c r="W218" s="113"/>
      <c r="X218" s="113"/>
      <c r="Y218" s="113"/>
      <c r="Z218" s="113"/>
      <c r="AA218" s="113"/>
    </row>
    <row r="219" spans="1:27" s="70" customFormat="1" x14ac:dyDescent="0.25">
      <c r="A219" s="99" t="s">
        <v>414</v>
      </c>
      <c r="B219" s="1" t="s">
        <v>415</v>
      </c>
      <c r="C219" s="11">
        <v>0</v>
      </c>
      <c r="D219" s="11">
        <v>0</v>
      </c>
      <c r="E219" s="11">
        <v>0</v>
      </c>
      <c r="F219" s="11">
        <v>0</v>
      </c>
      <c r="G219" s="11"/>
      <c r="H219" s="11">
        <v>0</v>
      </c>
      <c r="I219" s="11">
        <v>100000000</v>
      </c>
      <c r="J219" s="11">
        <f>+C219+D219-E219-F219+G219-H219+I219</f>
        <v>100000000</v>
      </c>
      <c r="K219" s="11">
        <f>88409303-282398+9548632</f>
        <v>97675537</v>
      </c>
      <c r="L219" s="10">
        <f t="shared" si="66"/>
        <v>2324463</v>
      </c>
      <c r="M219" s="11">
        <f>87506935+9548932</f>
        <v>97055867</v>
      </c>
      <c r="N219" s="11">
        <v>902368</v>
      </c>
      <c r="O219" s="11">
        <v>100000000</v>
      </c>
      <c r="P219" s="11">
        <f>+J219-O219</f>
        <v>0</v>
      </c>
      <c r="Q219" s="11">
        <f>+M219</f>
        <v>97055867</v>
      </c>
      <c r="R219" s="11">
        <f>+K219-M219</f>
        <v>619670</v>
      </c>
      <c r="S219" s="111"/>
      <c r="T219" s="113"/>
      <c r="U219" s="113"/>
      <c r="V219" s="113"/>
      <c r="W219" s="113"/>
      <c r="X219" s="113"/>
      <c r="Y219" s="113"/>
      <c r="Z219" s="113"/>
      <c r="AA219" s="113"/>
    </row>
    <row r="220" spans="1:27" s="70" customFormat="1" x14ac:dyDescent="0.25">
      <c r="A220" s="99" t="s">
        <v>416</v>
      </c>
      <c r="B220" s="1" t="s">
        <v>417</v>
      </c>
      <c r="C220" s="11">
        <v>1000</v>
      </c>
      <c r="D220" s="11">
        <v>0</v>
      </c>
      <c r="E220" s="11">
        <v>0</v>
      </c>
      <c r="F220" s="11">
        <v>0</v>
      </c>
      <c r="G220" s="11"/>
      <c r="H220" s="11">
        <v>0</v>
      </c>
      <c r="I220" s="11">
        <v>0</v>
      </c>
      <c r="J220" s="11">
        <f>+C220+D220-E220-F220+G220-H220+I220</f>
        <v>1000</v>
      </c>
      <c r="K220" s="11">
        <v>0</v>
      </c>
      <c r="L220" s="10">
        <f t="shared" si="66"/>
        <v>1000</v>
      </c>
      <c r="M220" s="11">
        <v>0</v>
      </c>
      <c r="N220" s="11">
        <v>0</v>
      </c>
      <c r="O220" s="11">
        <v>0</v>
      </c>
      <c r="P220" s="11">
        <f>+J220-O220</f>
        <v>1000</v>
      </c>
      <c r="Q220" s="11">
        <f>+M220</f>
        <v>0</v>
      </c>
      <c r="R220" s="11">
        <f>+K220-M220</f>
        <v>0</v>
      </c>
      <c r="S220" s="111"/>
      <c r="T220" s="113"/>
      <c r="U220" s="113"/>
      <c r="V220" s="113"/>
      <c r="W220" s="113"/>
      <c r="X220" s="113"/>
      <c r="Y220" s="113"/>
      <c r="Z220" s="113"/>
      <c r="AA220" s="113"/>
    </row>
    <row r="221" spans="1:27" s="70" customFormat="1" x14ac:dyDescent="0.25">
      <c r="A221" s="99" t="s">
        <v>418</v>
      </c>
      <c r="B221" s="1" t="s">
        <v>419</v>
      </c>
      <c r="C221" s="11">
        <v>0</v>
      </c>
      <c r="D221" s="11">
        <v>0</v>
      </c>
      <c r="E221" s="11">
        <v>0</v>
      </c>
      <c r="F221" s="11">
        <v>0</v>
      </c>
      <c r="G221" s="11"/>
      <c r="H221" s="11">
        <v>0</v>
      </c>
      <c r="I221" s="11">
        <v>15345333</v>
      </c>
      <c r="J221" s="11">
        <f>+C221+D221-E221-F221+G221-H221+I221</f>
        <v>15345333</v>
      </c>
      <c r="K221" s="11">
        <v>0</v>
      </c>
      <c r="L221" s="10">
        <f t="shared" si="66"/>
        <v>15345333</v>
      </c>
      <c r="M221" s="11">
        <v>0</v>
      </c>
      <c r="N221" s="11">
        <v>0</v>
      </c>
      <c r="O221" s="11">
        <v>0</v>
      </c>
      <c r="P221" s="11">
        <f>+J221-O221</f>
        <v>15345333</v>
      </c>
      <c r="Q221" s="11">
        <f>+M221</f>
        <v>0</v>
      </c>
      <c r="R221" s="11">
        <f>+K221-M221</f>
        <v>0</v>
      </c>
      <c r="S221" s="111"/>
      <c r="T221" s="113"/>
      <c r="U221" s="113"/>
      <c r="V221" s="113"/>
      <c r="W221" s="113"/>
      <c r="X221" s="113"/>
      <c r="Y221" s="113"/>
      <c r="Z221" s="113"/>
      <c r="AA221" s="113"/>
    </row>
    <row r="222" spans="1:27" s="70" customFormat="1" x14ac:dyDescent="0.25">
      <c r="A222" s="99" t="s">
        <v>420</v>
      </c>
      <c r="B222" s="1" t="s">
        <v>421</v>
      </c>
      <c r="C222" s="11">
        <v>5000000000</v>
      </c>
      <c r="D222" s="11">
        <v>0</v>
      </c>
      <c r="E222" s="11">
        <v>0</v>
      </c>
      <c r="F222" s="11">
        <v>0</v>
      </c>
      <c r="G222" s="11"/>
      <c r="H222" s="11">
        <v>0</v>
      </c>
      <c r="I222" s="11">
        <v>0</v>
      </c>
      <c r="J222" s="11">
        <f t="shared" ref="J222:J257" si="74">+C222+D222-E222-F222+G222-H222+I222</f>
        <v>5000000000</v>
      </c>
      <c r="K222" s="11">
        <v>0</v>
      </c>
      <c r="L222" s="10">
        <f t="shared" si="66"/>
        <v>5000000000</v>
      </c>
      <c r="M222" s="11">
        <v>0</v>
      </c>
      <c r="N222" s="11">
        <v>0</v>
      </c>
      <c r="O222" s="11">
        <v>0</v>
      </c>
      <c r="P222" s="11">
        <f>+J222-O222</f>
        <v>5000000000</v>
      </c>
      <c r="Q222" s="11">
        <f t="shared" ref="Q222:Q257" si="75">+M222</f>
        <v>0</v>
      </c>
      <c r="R222" s="11">
        <f>+K222-M222</f>
        <v>0</v>
      </c>
      <c r="S222" s="111"/>
      <c r="T222" s="113"/>
      <c r="U222" s="113"/>
      <c r="V222" s="113"/>
      <c r="W222" s="113"/>
      <c r="X222" s="113"/>
      <c r="Y222" s="113"/>
      <c r="Z222" s="113"/>
      <c r="AA222" s="113"/>
    </row>
    <row r="223" spans="1:27" s="183" customFormat="1" x14ac:dyDescent="0.25">
      <c r="A223" s="4" t="s">
        <v>422</v>
      </c>
      <c r="B223" s="5" t="s">
        <v>423</v>
      </c>
      <c r="C223" s="10">
        <f>SUM(C224:C291)</f>
        <v>8111129014</v>
      </c>
      <c r="D223" s="10">
        <f>SUM(D224:D291)</f>
        <v>820000000</v>
      </c>
      <c r="E223" s="10">
        <f t="shared" ref="E223:R223" si="76">SUM(E224:E291)</f>
        <v>820000000</v>
      </c>
      <c r="F223" s="10">
        <f t="shared" si="76"/>
        <v>0</v>
      </c>
      <c r="G223" s="10">
        <f t="shared" si="76"/>
        <v>0</v>
      </c>
      <c r="H223" s="10">
        <f t="shared" si="76"/>
        <v>1250570468</v>
      </c>
      <c r="I223" s="10">
        <f t="shared" si="76"/>
        <v>9697446142.5900002</v>
      </c>
      <c r="J223" s="10">
        <f t="shared" si="76"/>
        <v>16558004688.590002</v>
      </c>
      <c r="K223" s="10">
        <f t="shared" si="76"/>
        <v>8584324318.1500006</v>
      </c>
      <c r="L223" s="10">
        <f t="shared" si="66"/>
        <v>7973680370.4400015</v>
      </c>
      <c r="M223" s="10">
        <f t="shared" si="76"/>
        <v>5804384822.0600004</v>
      </c>
      <c r="N223" s="10">
        <f t="shared" si="76"/>
        <v>3021071383.1700001</v>
      </c>
      <c r="O223" s="10">
        <f t="shared" si="76"/>
        <v>11110525737.85</v>
      </c>
      <c r="P223" s="10">
        <f t="shared" si="76"/>
        <v>5447478950.7399998</v>
      </c>
      <c r="Q223" s="10">
        <f t="shared" si="76"/>
        <v>5804384822.0600004</v>
      </c>
      <c r="R223" s="10">
        <f t="shared" si="76"/>
        <v>2779939496.0900002</v>
      </c>
      <c r="S223" s="123"/>
      <c r="T223" s="113"/>
      <c r="U223" s="113"/>
      <c r="V223" s="113"/>
      <c r="W223" s="113"/>
      <c r="X223" s="113"/>
      <c r="Y223" s="113"/>
      <c r="Z223" s="113"/>
      <c r="AA223" s="113"/>
    </row>
    <row r="224" spans="1:27" s="70" customFormat="1" x14ac:dyDescent="0.25">
      <c r="A224" s="99" t="s">
        <v>424</v>
      </c>
      <c r="B224" s="1" t="s">
        <v>425</v>
      </c>
      <c r="C224" s="11">
        <v>1354336352</v>
      </c>
      <c r="D224" s="11">
        <v>0</v>
      </c>
      <c r="E224" s="11">
        <v>0</v>
      </c>
      <c r="F224" s="11">
        <v>0</v>
      </c>
      <c r="G224" s="11"/>
      <c r="H224" s="11">
        <v>0</v>
      </c>
      <c r="I224" s="11">
        <v>0</v>
      </c>
      <c r="J224" s="11">
        <f t="shared" si="74"/>
        <v>1354336352</v>
      </c>
      <c r="K224" s="11">
        <f>1346722744-21753826</f>
        <v>1324968918</v>
      </c>
      <c r="L224" s="10">
        <f t="shared" si="66"/>
        <v>29367434</v>
      </c>
      <c r="M224" s="11">
        <f>1346722744-16233600-21753826</f>
        <v>1308735318</v>
      </c>
      <c r="N224" s="11"/>
      <c r="O224" s="11">
        <v>1346722744</v>
      </c>
      <c r="P224" s="11">
        <f t="shared" ref="P224:P255" si="77">+J224-O224</f>
        <v>7613608</v>
      </c>
      <c r="Q224" s="11">
        <f t="shared" si="75"/>
        <v>1308735318</v>
      </c>
      <c r="R224" s="11">
        <f t="shared" ref="R224:R287" si="78">+K224-M224</f>
        <v>16233600</v>
      </c>
      <c r="S224" s="111"/>
      <c r="T224" s="113"/>
      <c r="U224" s="113"/>
      <c r="V224" s="113"/>
      <c r="W224" s="113"/>
      <c r="X224" s="113"/>
      <c r="Y224" s="113"/>
      <c r="Z224" s="113"/>
      <c r="AA224" s="113"/>
    </row>
    <row r="225" spans="1:27" s="70" customFormat="1" x14ac:dyDescent="0.25">
      <c r="A225" s="99" t="s">
        <v>426</v>
      </c>
      <c r="B225" s="1" t="s">
        <v>427</v>
      </c>
      <c r="C225" s="11">
        <v>73000000</v>
      </c>
      <c r="D225" s="11">
        <v>0</v>
      </c>
      <c r="E225" s="11">
        <v>0</v>
      </c>
      <c r="F225" s="11">
        <v>0</v>
      </c>
      <c r="G225" s="11"/>
      <c r="H225" s="11">
        <v>0</v>
      </c>
      <c r="I225" s="11">
        <v>0</v>
      </c>
      <c r="J225" s="11">
        <f t="shared" si="74"/>
        <v>73000000</v>
      </c>
      <c r="K225" s="11">
        <v>70810200</v>
      </c>
      <c r="L225" s="10">
        <f t="shared" si="66"/>
        <v>2189800</v>
      </c>
      <c r="M225" s="11">
        <f>70810200-26505345.92</f>
        <v>44304854.079999998</v>
      </c>
      <c r="N225" s="11">
        <v>0</v>
      </c>
      <c r="O225" s="11">
        <v>70810200</v>
      </c>
      <c r="P225" s="11">
        <f t="shared" si="77"/>
        <v>2189800</v>
      </c>
      <c r="Q225" s="11">
        <f t="shared" si="75"/>
        <v>44304854.079999998</v>
      </c>
      <c r="R225" s="11">
        <f t="shared" si="78"/>
        <v>26505345.920000002</v>
      </c>
      <c r="S225" s="111"/>
      <c r="T225" s="113"/>
      <c r="U225" s="113"/>
      <c r="V225" s="113"/>
      <c r="W225" s="113"/>
      <c r="X225" s="113"/>
      <c r="Y225" s="113"/>
      <c r="Z225" s="113"/>
      <c r="AA225" s="113"/>
    </row>
    <row r="226" spans="1:27" s="70" customFormat="1" x14ac:dyDescent="0.25">
      <c r="A226" s="99" t="s">
        <v>428</v>
      </c>
      <c r="B226" s="1" t="s">
        <v>429</v>
      </c>
      <c r="C226" s="11">
        <v>230894200</v>
      </c>
      <c r="D226" s="11">
        <v>0</v>
      </c>
      <c r="E226" s="11">
        <v>0</v>
      </c>
      <c r="F226" s="11">
        <v>0</v>
      </c>
      <c r="G226" s="11"/>
      <c r="H226" s="11">
        <v>0</v>
      </c>
      <c r="I226" s="11">
        <v>0</v>
      </c>
      <c r="J226" s="11">
        <f t="shared" si="74"/>
        <v>230894200</v>
      </c>
      <c r="K226" s="11">
        <v>208276332</v>
      </c>
      <c r="L226" s="10">
        <f t="shared" si="66"/>
        <v>22617868</v>
      </c>
      <c r="M226" s="11">
        <v>208276332</v>
      </c>
      <c r="N226" s="11">
        <v>1067903</v>
      </c>
      <c r="O226" s="11">
        <v>228027504</v>
      </c>
      <c r="P226" s="11">
        <f t="shared" si="77"/>
        <v>2866696</v>
      </c>
      <c r="Q226" s="11">
        <f t="shared" si="75"/>
        <v>208276332</v>
      </c>
      <c r="R226" s="11">
        <f t="shared" si="78"/>
        <v>0</v>
      </c>
      <c r="S226" s="111"/>
      <c r="T226" s="113"/>
      <c r="U226" s="113"/>
      <c r="V226" s="113"/>
      <c r="W226" s="113"/>
      <c r="X226" s="113"/>
      <c r="Y226" s="113"/>
      <c r="Z226" s="113"/>
      <c r="AA226" s="113"/>
    </row>
    <row r="227" spans="1:27" s="70" customFormat="1" x14ac:dyDescent="0.25">
      <c r="A227" s="99" t="s">
        <v>430</v>
      </c>
      <c r="B227" s="1" t="s">
        <v>431</v>
      </c>
      <c r="C227" s="11">
        <v>20000000</v>
      </c>
      <c r="D227" s="11">
        <v>0</v>
      </c>
      <c r="E227" s="11">
        <v>0</v>
      </c>
      <c r="F227" s="11">
        <v>0</v>
      </c>
      <c r="G227" s="11"/>
      <c r="H227" s="11">
        <v>0</v>
      </c>
      <c r="I227" s="11">
        <v>0</v>
      </c>
      <c r="J227" s="11">
        <f t="shared" si="74"/>
        <v>20000000</v>
      </c>
      <c r="K227" s="11">
        <v>16888304</v>
      </c>
      <c r="L227" s="10">
        <f t="shared" si="66"/>
        <v>3111696</v>
      </c>
      <c r="M227" s="11">
        <v>16888304</v>
      </c>
      <c r="N227" s="11">
        <v>0</v>
      </c>
      <c r="O227" s="11">
        <v>16888304</v>
      </c>
      <c r="P227" s="11">
        <f t="shared" si="77"/>
        <v>3111696</v>
      </c>
      <c r="Q227" s="11">
        <f t="shared" si="75"/>
        <v>16888304</v>
      </c>
      <c r="R227" s="11">
        <f t="shared" si="78"/>
        <v>0</v>
      </c>
      <c r="S227" s="111"/>
      <c r="T227" s="113"/>
      <c r="U227" s="113"/>
      <c r="V227" s="113"/>
      <c r="W227" s="113"/>
      <c r="X227" s="113"/>
      <c r="Y227" s="113"/>
      <c r="Z227" s="113"/>
      <c r="AA227" s="113"/>
    </row>
    <row r="228" spans="1:27" s="70" customFormat="1" x14ac:dyDescent="0.25">
      <c r="A228" s="99" t="s">
        <v>432</v>
      </c>
      <c r="B228" s="1" t="s">
        <v>433</v>
      </c>
      <c r="C228" s="11">
        <v>112105800</v>
      </c>
      <c r="D228" s="11">
        <v>0</v>
      </c>
      <c r="E228" s="11">
        <v>0</v>
      </c>
      <c r="F228" s="11">
        <v>0</v>
      </c>
      <c r="G228" s="11"/>
      <c r="H228" s="11">
        <v>0</v>
      </c>
      <c r="I228" s="11">
        <v>0</v>
      </c>
      <c r="J228" s="11">
        <f t="shared" si="74"/>
        <v>112105800</v>
      </c>
      <c r="K228" s="11">
        <v>109764158</v>
      </c>
      <c r="L228" s="10">
        <f t="shared" si="66"/>
        <v>2341642</v>
      </c>
      <c r="M228" s="11">
        <v>109764158</v>
      </c>
      <c r="N228" s="11">
        <v>2957640</v>
      </c>
      <c r="O228" s="11">
        <v>109764158</v>
      </c>
      <c r="P228" s="11">
        <f t="shared" si="77"/>
        <v>2341642</v>
      </c>
      <c r="Q228" s="11">
        <f t="shared" si="75"/>
        <v>109764158</v>
      </c>
      <c r="R228" s="11">
        <f t="shared" si="78"/>
        <v>0</v>
      </c>
      <c r="S228" s="111"/>
      <c r="T228" s="113"/>
      <c r="U228" s="113"/>
      <c r="V228" s="113"/>
      <c r="W228" s="113"/>
      <c r="X228" s="113"/>
      <c r="Y228" s="113"/>
      <c r="Z228" s="113"/>
      <c r="AA228" s="113"/>
    </row>
    <row r="229" spans="1:27" s="70" customFormat="1" x14ac:dyDescent="0.25">
      <c r="A229" s="99" t="s">
        <v>434</v>
      </c>
      <c r="B229" s="1" t="s">
        <v>435</v>
      </c>
      <c r="C229" s="11">
        <v>177000000</v>
      </c>
      <c r="D229" s="11">
        <v>0</v>
      </c>
      <c r="E229" s="11">
        <v>0</v>
      </c>
      <c r="F229" s="11">
        <v>0</v>
      </c>
      <c r="G229" s="11"/>
      <c r="H229" s="11">
        <v>0</v>
      </c>
      <c r="I229" s="11">
        <v>0</v>
      </c>
      <c r="J229" s="11">
        <f t="shared" si="74"/>
        <v>177000000</v>
      </c>
      <c r="K229" s="11">
        <v>140223734</v>
      </c>
      <c r="L229" s="10">
        <f t="shared" si="66"/>
        <v>36776266</v>
      </c>
      <c r="M229" s="11">
        <v>140223734</v>
      </c>
      <c r="N229" s="11">
        <v>7776000</v>
      </c>
      <c r="O229" s="11">
        <v>151599734</v>
      </c>
      <c r="P229" s="11">
        <f t="shared" si="77"/>
        <v>25400266</v>
      </c>
      <c r="Q229" s="11">
        <f t="shared" si="75"/>
        <v>140223734</v>
      </c>
      <c r="R229" s="11">
        <f t="shared" si="78"/>
        <v>0</v>
      </c>
      <c r="S229" s="111"/>
      <c r="T229" s="113"/>
      <c r="U229" s="113"/>
      <c r="V229" s="113"/>
      <c r="W229" s="113"/>
      <c r="X229" s="113"/>
      <c r="Y229" s="113"/>
      <c r="Z229" s="113"/>
      <c r="AA229" s="113"/>
    </row>
    <row r="230" spans="1:27" s="70" customFormat="1" x14ac:dyDescent="0.25">
      <c r="A230" s="99" t="s">
        <v>436</v>
      </c>
      <c r="B230" s="1" t="s">
        <v>437</v>
      </c>
      <c r="C230" s="11">
        <v>208281900</v>
      </c>
      <c r="D230" s="11">
        <v>0</v>
      </c>
      <c r="E230" s="11">
        <v>0</v>
      </c>
      <c r="F230" s="11">
        <v>0</v>
      </c>
      <c r="G230" s="11"/>
      <c r="H230" s="11">
        <v>0</v>
      </c>
      <c r="I230" s="11">
        <v>0</v>
      </c>
      <c r="J230" s="11">
        <f t="shared" si="74"/>
        <v>208281900</v>
      </c>
      <c r="K230" s="11">
        <v>208281900</v>
      </c>
      <c r="L230" s="10">
        <f t="shared" si="66"/>
        <v>0</v>
      </c>
      <c r="M230" s="11">
        <v>208281900</v>
      </c>
      <c r="N230" s="11">
        <v>0</v>
      </c>
      <c r="O230" s="11">
        <v>208281900</v>
      </c>
      <c r="P230" s="11">
        <f t="shared" si="77"/>
        <v>0</v>
      </c>
      <c r="Q230" s="11">
        <f t="shared" si="75"/>
        <v>208281900</v>
      </c>
      <c r="R230" s="11">
        <f t="shared" si="78"/>
        <v>0</v>
      </c>
      <c r="S230" s="111"/>
      <c r="T230" s="113"/>
      <c r="U230" s="113"/>
      <c r="V230" s="113"/>
      <c r="W230" s="113"/>
      <c r="X230" s="113"/>
      <c r="Y230" s="113"/>
      <c r="Z230" s="113"/>
      <c r="AA230" s="113"/>
    </row>
    <row r="231" spans="1:27" s="70" customFormat="1" x14ac:dyDescent="0.25">
      <c r="A231" s="99" t="s">
        <v>438</v>
      </c>
      <c r="B231" s="1" t="s">
        <v>439</v>
      </c>
      <c r="C231" s="11">
        <v>62000000</v>
      </c>
      <c r="D231" s="11">
        <v>0</v>
      </c>
      <c r="E231" s="11">
        <v>0</v>
      </c>
      <c r="F231" s="11">
        <v>0</v>
      </c>
      <c r="G231" s="11"/>
      <c r="H231" s="11">
        <v>0</v>
      </c>
      <c r="I231" s="11">
        <v>0</v>
      </c>
      <c r="J231" s="11">
        <f t="shared" si="74"/>
        <v>62000000</v>
      </c>
      <c r="K231" s="11">
        <v>62000000</v>
      </c>
      <c r="L231" s="10">
        <f t="shared" si="66"/>
        <v>0</v>
      </c>
      <c r="M231" s="11">
        <v>62000000</v>
      </c>
      <c r="N231" s="11">
        <v>0</v>
      </c>
      <c r="O231" s="11">
        <v>62000000</v>
      </c>
      <c r="P231" s="11">
        <f t="shared" si="77"/>
        <v>0</v>
      </c>
      <c r="Q231" s="11">
        <f t="shared" si="75"/>
        <v>62000000</v>
      </c>
      <c r="R231" s="11">
        <f t="shared" si="78"/>
        <v>0</v>
      </c>
      <c r="S231" s="111"/>
      <c r="T231" s="113"/>
      <c r="U231" s="113"/>
      <c r="V231" s="113"/>
      <c r="W231" s="113"/>
      <c r="X231" s="113"/>
      <c r="Y231" s="113"/>
      <c r="Z231" s="113"/>
      <c r="AA231" s="113"/>
    </row>
    <row r="232" spans="1:27" s="70" customFormat="1" x14ac:dyDescent="0.25">
      <c r="A232" s="99" t="s">
        <v>440</v>
      </c>
      <c r="B232" s="1" t="s">
        <v>441</v>
      </c>
      <c r="C232" s="11">
        <v>16404500</v>
      </c>
      <c r="D232" s="11">
        <v>0</v>
      </c>
      <c r="E232" s="11">
        <v>0</v>
      </c>
      <c r="F232" s="11">
        <v>0</v>
      </c>
      <c r="G232" s="11"/>
      <c r="H232" s="11">
        <v>0</v>
      </c>
      <c r="I232" s="11">
        <v>0</v>
      </c>
      <c r="J232" s="11">
        <f t="shared" si="74"/>
        <v>16404500</v>
      </c>
      <c r="K232" s="11">
        <v>15893994</v>
      </c>
      <c r="L232" s="10">
        <f t="shared" si="66"/>
        <v>510506</v>
      </c>
      <c r="M232" s="11">
        <v>15893994</v>
      </c>
      <c r="N232" s="11">
        <v>15893994</v>
      </c>
      <c r="O232" s="11">
        <v>15893994</v>
      </c>
      <c r="P232" s="11">
        <f t="shared" si="77"/>
        <v>510506</v>
      </c>
      <c r="Q232" s="11">
        <f t="shared" si="75"/>
        <v>15893994</v>
      </c>
      <c r="R232" s="11">
        <f t="shared" si="78"/>
        <v>0</v>
      </c>
      <c r="S232" s="111"/>
      <c r="T232" s="113"/>
      <c r="U232" s="113"/>
      <c r="V232" s="113"/>
      <c r="W232" s="113"/>
      <c r="X232" s="113"/>
      <c r="Y232" s="113"/>
      <c r="Z232" s="113"/>
      <c r="AA232" s="113"/>
    </row>
    <row r="233" spans="1:27" s="70" customFormat="1" x14ac:dyDescent="0.25">
      <c r="A233" s="99" t="s">
        <v>442</v>
      </c>
      <c r="B233" s="1" t="s">
        <v>443</v>
      </c>
      <c r="C233" s="11">
        <v>13700000</v>
      </c>
      <c r="D233" s="11">
        <v>0</v>
      </c>
      <c r="E233" s="11">
        <v>0</v>
      </c>
      <c r="F233" s="11">
        <v>0</v>
      </c>
      <c r="G233" s="11"/>
      <c r="H233" s="11">
        <v>0</v>
      </c>
      <c r="I233" s="11">
        <v>0</v>
      </c>
      <c r="J233" s="11">
        <f t="shared" si="74"/>
        <v>13700000</v>
      </c>
      <c r="K233" s="11">
        <v>13700000</v>
      </c>
      <c r="L233" s="10">
        <f t="shared" si="66"/>
        <v>0</v>
      </c>
      <c r="M233" s="11">
        <v>13700000</v>
      </c>
      <c r="N233" s="11">
        <v>13700000</v>
      </c>
      <c r="O233" s="11">
        <v>13700000</v>
      </c>
      <c r="P233" s="11">
        <f t="shared" si="77"/>
        <v>0</v>
      </c>
      <c r="Q233" s="11">
        <f t="shared" si="75"/>
        <v>13700000</v>
      </c>
      <c r="R233" s="11">
        <f t="shared" si="78"/>
        <v>0</v>
      </c>
      <c r="S233" s="111"/>
      <c r="T233" s="113"/>
      <c r="U233" s="113"/>
      <c r="V233" s="113"/>
      <c r="W233" s="113"/>
      <c r="X233" s="113"/>
      <c r="Y233" s="113"/>
      <c r="Z233" s="113"/>
      <c r="AA233" s="113"/>
    </row>
    <row r="234" spans="1:27" s="70" customFormat="1" x14ac:dyDescent="0.25">
      <c r="A234" s="99" t="s">
        <v>444</v>
      </c>
      <c r="B234" s="1" t="s">
        <v>445</v>
      </c>
      <c r="C234" s="11">
        <v>13154160</v>
      </c>
      <c r="D234" s="11">
        <v>0</v>
      </c>
      <c r="E234" s="11">
        <v>0</v>
      </c>
      <c r="F234" s="11">
        <v>0</v>
      </c>
      <c r="G234" s="11"/>
      <c r="H234" s="11">
        <v>0</v>
      </c>
      <c r="I234" s="11">
        <v>0</v>
      </c>
      <c r="J234" s="11">
        <f t="shared" si="74"/>
        <v>13154160</v>
      </c>
      <c r="K234" s="11">
        <v>13151643</v>
      </c>
      <c r="L234" s="10">
        <f t="shared" si="66"/>
        <v>2517</v>
      </c>
      <c r="M234" s="11">
        <v>12545143</v>
      </c>
      <c r="N234" s="11">
        <v>13151643</v>
      </c>
      <c r="O234" s="11">
        <v>13154160</v>
      </c>
      <c r="P234" s="11">
        <f t="shared" si="77"/>
        <v>0</v>
      </c>
      <c r="Q234" s="11">
        <f t="shared" si="75"/>
        <v>12545143</v>
      </c>
      <c r="R234" s="11">
        <f t="shared" si="78"/>
        <v>606500</v>
      </c>
      <c r="S234" s="111"/>
      <c r="T234" s="113"/>
      <c r="U234" s="113"/>
      <c r="V234" s="113"/>
      <c r="W234" s="113"/>
      <c r="X234" s="113"/>
      <c r="Y234" s="113"/>
      <c r="Z234" s="113"/>
      <c r="AA234" s="113"/>
    </row>
    <row r="235" spans="1:27" s="70" customFormat="1" x14ac:dyDescent="0.25">
      <c r="A235" s="99" t="s">
        <v>446</v>
      </c>
      <c r="B235" s="1" t="s">
        <v>447</v>
      </c>
      <c r="C235" s="11">
        <v>17906380</v>
      </c>
      <c r="D235" s="11">
        <v>0</v>
      </c>
      <c r="E235" s="11">
        <v>0</v>
      </c>
      <c r="F235" s="11">
        <v>0</v>
      </c>
      <c r="G235" s="11"/>
      <c r="H235" s="11">
        <v>0</v>
      </c>
      <c r="I235" s="11">
        <v>0</v>
      </c>
      <c r="J235" s="11">
        <f t="shared" si="74"/>
        <v>17906380</v>
      </c>
      <c r="K235" s="11">
        <v>14446309</v>
      </c>
      <c r="L235" s="10">
        <f t="shared" si="66"/>
        <v>3460071</v>
      </c>
      <c r="M235" s="11">
        <v>14446309</v>
      </c>
      <c r="N235" s="11">
        <v>9946310</v>
      </c>
      <c r="O235" s="11">
        <v>17819178</v>
      </c>
      <c r="P235" s="11">
        <f t="shared" si="77"/>
        <v>87202</v>
      </c>
      <c r="Q235" s="11">
        <f t="shared" si="75"/>
        <v>14446309</v>
      </c>
      <c r="R235" s="11">
        <f t="shared" si="78"/>
        <v>0</v>
      </c>
      <c r="S235" s="111"/>
      <c r="T235" s="113"/>
      <c r="U235" s="113"/>
      <c r="V235" s="113"/>
      <c r="W235" s="113"/>
      <c r="X235" s="113"/>
      <c r="Y235" s="113"/>
      <c r="Z235" s="113"/>
      <c r="AA235" s="113"/>
    </row>
    <row r="236" spans="1:27" s="70" customFormat="1" x14ac:dyDescent="0.25">
      <c r="A236" s="99" t="s">
        <v>448</v>
      </c>
      <c r="B236" s="1" t="s">
        <v>449</v>
      </c>
      <c r="C236" s="11">
        <v>18834960</v>
      </c>
      <c r="D236" s="11">
        <v>0</v>
      </c>
      <c r="E236" s="11">
        <v>0</v>
      </c>
      <c r="F236" s="11">
        <v>0</v>
      </c>
      <c r="G236" s="11"/>
      <c r="H236" s="11">
        <v>0</v>
      </c>
      <c r="I236" s="11">
        <v>0</v>
      </c>
      <c r="J236" s="11">
        <f t="shared" si="74"/>
        <v>18834960</v>
      </c>
      <c r="K236" s="11">
        <v>16282991</v>
      </c>
      <c r="L236" s="10">
        <f t="shared" si="66"/>
        <v>2551969</v>
      </c>
      <c r="M236" s="11">
        <v>16282991</v>
      </c>
      <c r="N236" s="11">
        <v>15362991</v>
      </c>
      <c r="O236" s="11">
        <v>16312991</v>
      </c>
      <c r="P236" s="11">
        <f t="shared" si="77"/>
        <v>2521969</v>
      </c>
      <c r="Q236" s="11">
        <f t="shared" si="75"/>
        <v>16282991</v>
      </c>
      <c r="R236" s="11">
        <f t="shared" si="78"/>
        <v>0</v>
      </c>
      <c r="S236" s="111"/>
      <c r="T236" s="113"/>
      <c r="U236" s="113"/>
      <c r="V236" s="113"/>
      <c r="W236" s="113"/>
      <c r="X236" s="113"/>
      <c r="Y236" s="113"/>
      <c r="Z236" s="113"/>
      <c r="AA236" s="113"/>
    </row>
    <row r="237" spans="1:27" s="70" customFormat="1" x14ac:dyDescent="0.25">
      <c r="A237" s="99" t="s">
        <v>450</v>
      </c>
      <c r="B237" s="1" t="s">
        <v>451</v>
      </c>
      <c r="C237" s="11">
        <v>80000000</v>
      </c>
      <c r="D237" s="11">
        <v>0</v>
      </c>
      <c r="E237" s="11">
        <v>0</v>
      </c>
      <c r="F237" s="11">
        <v>0</v>
      </c>
      <c r="G237" s="11"/>
      <c r="H237" s="11">
        <v>0</v>
      </c>
      <c r="I237" s="11">
        <v>0</v>
      </c>
      <c r="J237" s="11">
        <f t="shared" si="74"/>
        <v>80000000</v>
      </c>
      <c r="K237" s="11">
        <v>80000000</v>
      </c>
      <c r="L237" s="10">
        <f t="shared" si="66"/>
        <v>0</v>
      </c>
      <c r="M237" s="11">
        <v>80000000</v>
      </c>
      <c r="N237" s="11">
        <v>80000000</v>
      </c>
      <c r="O237" s="11">
        <v>80000000</v>
      </c>
      <c r="P237" s="11">
        <f t="shared" si="77"/>
        <v>0</v>
      </c>
      <c r="Q237" s="11">
        <f t="shared" si="75"/>
        <v>80000000</v>
      </c>
      <c r="R237" s="11">
        <f t="shared" si="78"/>
        <v>0</v>
      </c>
      <c r="S237" s="111"/>
      <c r="T237" s="113"/>
      <c r="U237" s="113"/>
      <c r="V237" s="113"/>
      <c r="W237" s="113"/>
      <c r="X237" s="113"/>
      <c r="Y237" s="113"/>
      <c r="Z237" s="113"/>
      <c r="AA237" s="113"/>
    </row>
    <row r="238" spans="1:27" s="70" customFormat="1" x14ac:dyDescent="0.25">
      <c r="A238" s="99" t="s">
        <v>452</v>
      </c>
      <c r="B238" s="1" t="s">
        <v>453</v>
      </c>
      <c r="C238" s="11">
        <v>500000000</v>
      </c>
      <c r="D238" s="11">
        <v>0</v>
      </c>
      <c r="E238" s="11">
        <v>0</v>
      </c>
      <c r="F238" s="11">
        <v>0</v>
      </c>
      <c r="G238" s="11"/>
      <c r="H238" s="11">
        <v>0</v>
      </c>
      <c r="I238" s="11">
        <v>0</v>
      </c>
      <c r="J238" s="11">
        <f t="shared" si="74"/>
        <v>500000000</v>
      </c>
      <c r="K238" s="11">
        <v>356153115</v>
      </c>
      <c r="L238" s="10">
        <f t="shared" si="66"/>
        <v>143846885</v>
      </c>
      <c r="M238" s="11">
        <v>356153115</v>
      </c>
      <c r="N238" s="11">
        <v>5331778</v>
      </c>
      <c r="O238" s="11">
        <v>361384436</v>
      </c>
      <c r="P238" s="11">
        <f t="shared" si="77"/>
        <v>138615564</v>
      </c>
      <c r="Q238" s="11">
        <f t="shared" si="75"/>
        <v>356153115</v>
      </c>
      <c r="R238" s="11">
        <f t="shared" si="78"/>
        <v>0</v>
      </c>
      <c r="S238" s="111"/>
      <c r="T238" s="113"/>
      <c r="U238" s="113"/>
      <c r="V238" s="113"/>
      <c r="W238" s="113"/>
      <c r="X238" s="113"/>
      <c r="Y238" s="113"/>
      <c r="Z238" s="113"/>
      <c r="AA238" s="113"/>
    </row>
    <row r="239" spans="1:27" s="70" customFormat="1" x14ac:dyDescent="0.25">
      <c r="A239" s="99" t="s">
        <v>454</v>
      </c>
      <c r="B239" s="1" t="s">
        <v>455</v>
      </c>
      <c r="C239" s="11">
        <v>650000000</v>
      </c>
      <c r="D239" s="11">
        <v>0</v>
      </c>
      <c r="E239" s="11">
        <v>0</v>
      </c>
      <c r="F239" s="11">
        <v>0</v>
      </c>
      <c r="G239" s="11"/>
      <c r="H239" s="11">
        <v>0</v>
      </c>
      <c r="I239" s="11">
        <v>0</v>
      </c>
      <c r="J239" s="11">
        <f t="shared" si="74"/>
        <v>650000000</v>
      </c>
      <c r="K239" s="11">
        <v>345922739.13</v>
      </c>
      <c r="L239" s="10">
        <f t="shared" si="66"/>
        <v>304077260.87</v>
      </c>
      <c r="M239" s="11">
        <v>345922739.13</v>
      </c>
      <c r="N239" s="11">
        <v>0</v>
      </c>
      <c r="O239" s="11">
        <v>353422739.13</v>
      </c>
      <c r="P239" s="11">
        <f t="shared" si="77"/>
        <v>296577260.87</v>
      </c>
      <c r="Q239" s="11">
        <f t="shared" si="75"/>
        <v>345922739.13</v>
      </c>
      <c r="R239" s="11">
        <f t="shared" si="78"/>
        <v>0</v>
      </c>
      <c r="S239" s="111"/>
      <c r="T239" s="113"/>
      <c r="U239" s="113"/>
      <c r="V239" s="113"/>
      <c r="W239" s="113"/>
      <c r="X239" s="113"/>
      <c r="Y239" s="113"/>
      <c r="Z239" s="113"/>
      <c r="AA239" s="113"/>
    </row>
    <row r="240" spans="1:27" s="70" customFormat="1" x14ac:dyDescent="0.25">
      <c r="A240" s="99" t="s">
        <v>456</v>
      </c>
      <c r="B240" s="1" t="s">
        <v>457</v>
      </c>
      <c r="C240" s="11">
        <v>1197500000</v>
      </c>
      <c r="D240" s="11">
        <v>0</v>
      </c>
      <c r="E240" s="11">
        <v>0</v>
      </c>
      <c r="F240" s="11">
        <v>0</v>
      </c>
      <c r="G240" s="11"/>
      <c r="H240" s="11">
        <v>0</v>
      </c>
      <c r="I240" s="11">
        <v>0</v>
      </c>
      <c r="J240" s="11">
        <f t="shared" si="74"/>
        <v>1197500000</v>
      </c>
      <c r="K240" s="11">
        <v>1090301686</v>
      </c>
      <c r="L240" s="10">
        <f t="shared" si="66"/>
        <v>107198314</v>
      </c>
      <c r="M240" s="11">
        <f>1090301686-70892597</f>
        <v>1019409089</v>
      </c>
      <c r="N240" s="11">
        <v>118478727</v>
      </c>
      <c r="O240" s="11">
        <v>1197500000</v>
      </c>
      <c r="P240" s="11">
        <f t="shared" si="77"/>
        <v>0</v>
      </c>
      <c r="Q240" s="11">
        <f t="shared" si="75"/>
        <v>1019409089</v>
      </c>
      <c r="R240" s="11">
        <f t="shared" si="78"/>
        <v>70892597</v>
      </c>
      <c r="S240" s="111"/>
      <c r="T240" s="113"/>
      <c r="U240" s="113"/>
      <c r="V240" s="113"/>
      <c r="W240" s="113"/>
      <c r="X240" s="113"/>
      <c r="Y240" s="113"/>
      <c r="Z240" s="113"/>
      <c r="AA240" s="113"/>
    </row>
    <row r="241" spans="1:27" s="70" customFormat="1" x14ac:dyDescent="0.25">
      <c r="A241" s="99" t="s">
        <v>458</v>
      </c>
      <c r="B241" s="1" t="s">
        <v>459</v>
      </c>
      <c r="C241" s="11">
        <v>300000000</v>
      </c>
      <c r="D241" s="11">
        <v>0</v>
      </c>
      <c r="E241" s="11">
        <v>0</v>
      </c>
      <c r="F241" s="11">
        <v>0</v>
      </c>
      <c r="G241" s="11"/>
      <c r="H241" s="11">
        <v>0</v>
      </c>
      <c r="I241" s="11">
        <v>0</v>
      </c>
      <c r="J241" s="11">
        <f t="shared" si="74"/>
        <v>300000000</v>
      </c>
      <c r="K241" s="11">
        <v>248192321.40000001</v>
      </c>
      <c r="L241" s="10">
        <f t="shared" si="66"/>
        <v>51807678.599999994</v>
      </c>
      <c r="M241" s="11">
        <v>0</v>
      </c>
      <c r="N241" s="11">
        <v>248192321.40000001</v>
      </c>
      <c r="O241" s="11">
        <v>249360052</v>
      </c>
      <c r="P241" s="11">
        <f t="shared" si="77"/>
        <v>50639948</v>
      </c>
      <c r="Q241" s="11">
        <f t="shared" si="75"/>
        <v>0</v>
      </c>
      <c r="R241" s="11">
        <f t="shared" si="78"/>
        <v>248192321.40000001</v>
      </c>
      <c r="S241" s="111"/>
      <c r="T241" s="113"/>
      <c r="U241" s="113"/>
      <c r="V241" s="113"/>
      <c r="W241" s="113"/>
      <c r="X241" s="113"/>
      <c r="Y241" s="113"/>
      <c r="Z241" s="113"/>
      <c r="AA241" s="113"/>
    </row>
    <row r="242" spans="1:27" s="70" customFormat="1" x14ac:dyDescent="0.25">
      <c r="A242" s="99" t="s">
        <v>460</v>
      </c>
      <c r="B242" s="1" t="s">
        <v>461</v>
      </c>
      <c r="C242" s="11">
        <v>700000000</v>
      </c>
      <c r="D242" s="11">
        <v>0</v>
      </c>
      <c r="E242" s="11">
        <v>700000000</v>
      </c>
      <c r="F242" s="11">
        <v>0</v>
      </c>
      <c r="G242" s="11"/>
      <c r="H242" s="11">
        <v>0</v>
      </c>
      <c r="I242" s="11">
        <v>0</v>
      </c>
      <c r="J242" s="11">
        <f t="shared" si="74"/>
        <v>0</v>
      </c>
      <c r="K242" s="11">
        <v>0</v>
      </c>
      <c r="L242" s="10">
        <f t="shared" si="66"/>
        <v>0</v>
      </c>
      <c r="M242" s="11">
        <v>0</v>
      </c>
      <c r="N242" s="11">
        <v>0</v>
      </c>
      <c r="O242" s="11">
        <v>0</v>
      </c>
      <c r="P242" s="11">
        <f t="shared" si="77"/>
        <v>0</v>
      </c>
      <c r="Q242" s="11">
        <f t="shared" si="75"/>
        <v>0</v>
      </c>
      <c r="R242" s="11">
        <f t="shared" si="78"/>
        <v>0</v>
      </c>
      <c r="S242" s="111"/>
      <c r="T242" s="113"/>
      <c r="U242" s="113"/>
      <c r="V242" s="113"/>
      <c r="W242" s="113"/>
      <c r="X242" s="113"/>
      <c r="Y242" s="113"/>
      <c r="Z242" s="113"/>
      <c r="AA242" s="113"/>
    </row>
    <row r="243" spans="1:27" s="70" customFormat="1" x14ac:dyDescent="0.25">
      <c r="A243" s="99" t="s">
        <v>462</v>
      </c>
      <c r="B243" s="1" t="s">
        <v>463</v>
      </c>
      <c r="C243" s="11">
        <v>120000000</v>
      </c>
      <c r="D243" s="11">
        <v>0</v>
      </c>
      <c r="E243" s="11">
        <v>120000000</v>
      </c>
      <c r="F243" s="11">
        <v>0</v>
      </c>
      <c r="G243" s="11"/>
      <c r="H243" s="11">
        <v>0</v>
      </c>
      <c r="I243" s="11">
        <v>0</v>
      </c>
      <c r="J243" s="11">
        <f t="shared" si="74"/>
        <v>0</v>
      </c>
      <c r="K243" s="11">
        <v>0</v>
      </c>
      <c r="L243" s="10">
        <f t="shared" si="66"/>
        <v>0</v>
      </c>
      <c r="M243" s="11">
        <v>0</v>
      </c>
      <c r="N243" s="11">
        <v>0</v>
      </c>
      <c r="O243" s="11">
        <v>0</v>
      </c>
      <c r="P243" s="11">
        <f t="shared" si="77"/>
        <v>0</v>
      </c>
      <c r="Q243" s="11">
        <f t="shared" si="75"/>
        <v>0</v>
      </c>
      <c r="R243" s="11">
        <f t="shared" si="78"/>
        <v>0</v>
      </c>
      <c r="S243" s="111"/>
      <c r="T243" s="113"/>
      <c r="U243" s="113"/>
      <c r="V243" s="113"/>
      <c r="W243" s="113"/>
      <c r="X243" s="113"/>
      <c r="Y243" s="113"/>
      <c r="Z243" s="113"/>
      <c r="AA243" s="113"/>
    </row>
    <row r="244" spans="1:27" s="70" customFormat="1" x14ac:dyDescent="0.25">
      <c r="A244" s="99" t="s">
        <v>464</v>
      </c>
      <c r="B244" s="1" t="s">
        <v>465</v>
      </c>
      <c r="C244" s="11">
        <v>322555164</v>
      </c>
      <c r="D244" s="11">
        <v>0</v>
      </c>
      <c r="E244" s="11">
        <v>0</v>
      </c>
      <c r="F244" s="11">
        <v>0</v>
      </c>
      <c r="G244" s="11"/>
      <c r="H244" s="11">
        <v>0</v>
      </c>
      <c r="I244" s="11">
        <v>0</v>
      </c>
      <c r="J244" s="11">
        <f t="shared" si="74"/>
        <v>322555164</v>
      </c>
      <c r="K244" s="11">
        <v>274481553</v>
      </c>
      <c r="L244" s="10">
        <f t="shared" si="66"/>
        <v>48073611</v>
      </c>
      <c r="M244" s="11">
        <v>182178080</v>
      </c>
      <c r="N244" s="11">
        <v>92303473</v>
      </c>
      <c r="O244" s="11">
        <v>322555164</v>
      </c>
      <c r="P244" s="11">
        <f t="shared" si="77"/>
        <v>0</v>
      </c>
      <c r="Q244" s="11">
        <f t="shared" si="75"/>
        <v>182178080</v>
      </c>
      <c r="R244" s="11">
        <f t="shared" si="78"/>
        <v>92303473</v>
      </c>
      <c r="S244" s="111"/>
      <c r="T244" s="113"/>
      <c r="U244" s="113"/>
      <c r="V244" s="113"/>
      <c r="W244" s="113"/>
      <c r="X244" s="113"/>
      <c r="Y244" s="113"/>
      <c r="Z244" s="113"/>
      <c r="AA244" s="113"/>
    </row>
    <row r="245" spans="1:27" s="70" customFormat="1" x14ac:dyDescent="0.25">
      <c r="A245" s="99" t="s">
        <v>466</v>
      </c>
      <c r="B245" s="1" t="s">
        <v>467</v>
      </c>
      <c r="C245" s="11">
        <v>170000000</v>
      </c>
      <c r="D245" s="11">
        <v>0</v>
      </c>
      <c r="E245" s="11">
        <v>0</v>
      </c>
      <c r="F245" s="11">
        <v>0</v>
      </c>
      <c r="G245" s="11"/>
      <c r="H245" s="11">
        <v>0</v>
      </c>
      <c r="I245" s="11">
        <v>0</v>
      </c>
      <c r="J245" s="11">
        <f t="shared" si="74"/>
        <v>170000000</v>
      </c>
      <c r="K245" s="11">
        <v>48568782</v>
      </c>
      <c r="L245" s="10">
        <f t="shared" si="66"/>
        <v>121431218</v>
      </c>
      <c r="M245" s="11">
        <v>21140938</v>
      </c>
      <c r="N245" s="11">
        <v>27427844</v>
      </c>
      <c r="O245" s="11">
        <v>170000000</v>
      </c>
      <c r="P245" s="11">
        <f t="shared" si="77"/>
        <v>0</v>
      </c>
      <c r="Q245" s="11">
        <f t="shared" si="75"/>
        <v>21140938</v>
      </c>
      <c r="R245" s="11">
        <f t="shared" si="78"/>
        <v>27427844</v>
      </c>
      <c r="S245" s="111"/>
      <c r="T245" s="113"/>
      <c r="U245" s="113"/>
      <c r="V245" s="113"/>
      <c r="W245" s="113"/>
      <c r="X245" s="113"/>
      <c r="Y245" s="113"/>
      <c r="Z245" s="113"/>
      <c r="AA245" s="113"/>
    </row>
    <row r="246" spans="1:27" s="70" customFormat="1" x14ac:dyDescent="0.25">
      <c r="A246" s="99" t="s">
        <v>468</v>
      </c>
      <c r="B246" s="1" t="s">
        <v>469</v>
      </c>
      <c r="C246" s="11">
        <v>2885130</v>
      </c>
      <c r="D246" s="11">
        <v>0</v>
      </c>
      <c r="E246" s="11">
        <v>0</v>
      </c>
      <c r="F246" s="11">
        <v>0</v>
      </c>
      <c r="G246" s="11"/>
      <c r="H246" s="11">
        <v>0</v>
      </c>
      <c r="I246" s="11">
        <v>0</v>
      </c>
      <c r="J246" s="11">
        <f t="shared" si="74"/>
        <v>2885130</v>
      </c>
      <c r="K246" s="11">
        <v>2500000</v>
      </c>
      <c r="L246" s="10">
        <f t="shared" si="66"/>
        <v>385130</v>
      </c>
      <c r="M246" s="11">
        <v>2500000</v>
      </c>
      <c r="N246" s="11">
        <v>0</v>
      </c>
      <c r="O246" s="11">
        <v>2500000</v>
      </c>
      <c r="P246" s="11">
        <f t="shared" si="77"/>
        <v>385130</v>
      </c>
      <c r="Q246" s="11">
        <f t="shared" si="75"/>
        <v>2500000</v>
      </c>
      <c r="R246" s="11">
        <f t="shared" si="78"/>
        <v>0</v>
      </c>
      <c r="S246" s="111"/>
      <c r="T246" s="113"/>
      <c r="U246" s="113"/>
      <c r="V246" s="113"/>
      <c r="W246" s="113"/>
      <c r="X246" s="113"/>
      <c r="Y246" s="113"/>
      <c r="Z246" s="113"/>
      <c r="AA246" s="113"/>
    </row>
    <row r="247" spans="1:27" s="70" customFormat="1" x14ac:dyDescent="0.25">
      <c r="A247" s="99" t="s">
        <v>470</v>
      </c>
      <c r="B247" s="1" t="s">
        <v>471</v>
      </c>
      <c r="C247" s="11">
        <v>100000000</v>
      </c>
      <c r="D247" s="11">
        <v>0</v>
      </c>
      <c r="E247" s="11">
        <v>0</v>
      </c>
      <c r="F247" s="11">
        <v>0</v>
      </c>
      <c r="G247" s="11"/>
      <c r="H247" s="11">
        <v>0</v>
      </c>
      <c r="I247" s="11">
        <v>0</v>
      </c>
      <c r="J247" s="11">
        <f t="shared" si="74"/>
        <v>100000000</v>
      </c>
      <c r="K247" s="11">
        <v>51261380</v>
      </c>
      <c r="L247" s="10">
        <f t="shared" si="66"/>
        <v>48738620</v>
      </c>
      <c r="M247" s="11">
        <v>38954400</v>
      </c>
      <c r="N247" s="11">
        <v>12306980</v>
      </c>
      <c r="O247" s="11">
        <v>53402376</v>
      </c>
      <c r="P247" s="11">
        <f t="shared" si="77"/>
        <v>46597624</v>
      </c>
      <c r="Q247" s="11">
        <f t="shared" si="75"/>
        <v>38954400</v>
      </c>
      <c r="R247" s="11">
        <f t="shared" si="78"/>
        <v>12306980</v>
      </c>
      <c r="S247" s="111"/>
      <c r="T247" s="113"/>
      <c r="U247" s="113"/>
      <c r="V247" s="113"/>
      <c r="W247" s="113"/>
      <c r="X247" s="113"/>
      <c r="Y247" s="113"/>
      <c r="Z247" s="113"/>
      <c r="AA247" s="113"/>
    </row>
    <row r="248" spans="1:27" s="70" customFormat="1" x14ac:dyDescent="0.25">
      <c r="A248" s="99" t="s">
        <v>472</v>
      </c>
      <c r="B248" s="1" t="s">
        <v>473</v>
      </c>
      <c r="C248" s="11">
        <v>100000000</v>
      </c>
      <c r="D248" s="11">
        <v>0</v>
      </c>
      <c r="E248" s="11">
        <v>0</v>
      </c>
      <c r="F248" s="11">
        <v>0</v>
      </c>
      <c r="G248" s="11"/>
      <c r="H248" s="11">
        <v>0</v>
      </c>
      <c r="I248" s="11">
        <v>0</v>
      </c>
      <c r="J248" s="11">
        <f t="shared" si="74"/>
        <v>100000000</v>
      </c>
      <c r="K248" s="11">
        <f>71616078-9710394</f>
        <v>61905684</v>
      </c>
      <c r="L248" s="10">
        <f t="shared" si="66"/>
        <v>38094316</v>
      </c>
      <c r="M248" s="11">
        <v>61905684</v>
      </c>
      <c r="N248" s="11">
        <v>9710394</v>
      </c>
      <c r="O248" s="11">
        <v>98739139</v>
      </c>
      <c r="P248" s="11">
        <f t="shared" si="77"/>
        <v>1260861</v>
      </c>
      <c r="Q248" s="11">
        <f t="shared" si="75"/>
        <v>61905684</v>
      </c>
      <c r="R248" s="11">
        <f t="shared" si="78"/>
        <v>0</v>
      </c>
      <c r="S248" s="111"/>
      <c r="T248" s="113"/>
      <c r="U248" s="113"/>
      <c r="V248" s="113"/>
      <c r="W248" s="113"/>
      <c r="X248" s="113"/>
      <c r="Y248" s="113"/>
      <c r="Z248" s="113"/>
      <c r="AA248" s="113"/>
    </row>
    <row r="249" spans="1:27" s="70" customFormat="1" x14ac:dyDescent="0.25">
      <c r="A249" s="99" t="s">
        <v>474</v>
      </c>
      <c r="B249" s="1" t="s">
        <v>475</v>
      </c>
      <c r="C249" s="11">
        <v>100000000</v>
      </c>
      <c r="D249" s="11">
        <v>0</v>
      </c>
      <c r="E249" s="11">
        <v>0</v>
      </c>
      <c r="F249" s="11">
        <v>0</v>
      </c>
      <c r="G249" s="11"/>
      <c r="H249" s="11">
        <v>0</v>
      </c>
      <c r="I249" s="11">
        <v>0</v>
      </c>
      <c r="J249" s="11">
        <f t="shared" si="74"/>
        <v>100000000</v>
      </c>
      <c r="K249" s="11">
        <v>91355125</v>
      </c>
      <c r="L249" s="10">
        <f t="shared" si="66"/>
        <v>8644875</v>
      </c>
      <c r="M249" s="11">
        <v>6662955</v>
      </c>
      <c r="N249" s="11">
        <v>84692170</v>
      </c>
      <c r="O249" s="11">
        <v>99960900</v>
      </c>
      <c r="P249" s="11">
        <f t="shared" si="77"/>
        <v>39100</v>
      </c>
      <c r="Q249" s="11">
        <f t="shared" si="75"/>
        <v>6662955</v>
      </c>
      <c r="R249" s="11">
        <f t="shared" si="78"/>
        <v>84692170</v>
      </c>
      <c r="S249" s="111"/>
      <c r="T249" s="113"/>
      <c r="U249" s="113"/>
      <c r="V249" s="113"/>
      <c r="W249" s="113"/>
      <c r="X249" s="113"/>
      <c r="Y249" s="113"/>
      <c r="Z249" s="113"/>
      <c r="AA249" s="113"/>
    </row>
    <row r="250" spans="1:27" s="70" customFormat="1" x14ac:dyDescent="0.25">
      <c r="A250" s="99" t="s">
        <v>476</v>
      </c>
      <c r="B250" s="1" t="s">
        <v>477</v>
      </c>
      <c r="C250" s="11">
        <v>100000000</v>
      </c>
      <c r="D250" s="11">
        <v>0</v>
      </c>
      <c r="E250" s="11">
        <v>0</v>
      </c>
      <c r="F250" s="11">
        <v>0</v>
      </c>
      <c r="G250" s="11"/>
      <c r="H250" s="11">
        <v>0</v>
      </c>
      <c r="I250" s="11">
        <v>0</v>
      </c>
      <c r="J250" s="11">
        <f t="shared" si="74"/>
        <v>100000000</v>
      </c>
      <c r="K250" s="11">
        <v>17950031</v>
      </c>
      <c r="L250" s="10">
        <f t="shared" si="66"/>
        <v>82049969</v>
      </c>
      <c r="M250" s="11">
        <v>15325029</v>
      </c>
      <c r="N250" s="11">
        <v>2625002</v>
      </c>
      <c r="O250" s="11">
        <v>99324663</v>
      </c>
      <c r="P250" s="11">
        <f t="shared" si="77"/>
        <v>675337</v>
      </c>
      <c r="Q250" s="11">
        <f t="shared" si="75"/>
        <v>15325029</v>
      </c>
      <c r="R250" s="11">
        <f t="shared" si="78"/>
        <v>2625002</v>
      </c>
      <c r="S250" s="111"/>
      <c r="T250" s="113"/>
      <c r="U250" s="113"/>
      <c r="V250" s="113"/>
      <c r="W250" s="113"/>
      <c r="X250" s="113"/>
      <c r="Y250" s="113"/>
      <c r="Z250" s="113"/>
      <c r="AA250" s="113"/>
    </row>
    <row r="251" spans="1:27" s="70" customFormat="1" x14ac:dyDescent="0.25">
      <c r="A251" s="99" t="s">
        <v>478</v>
      </c>
      <c r="B251" s="1" t="s">
        <v>479</v>
      </c>
      <c r="C251" s="11">
        <v>100000000</v>
      </c>
      <c r="D251" s="11">
        <v>0</v>
      </c>
      <c r="E251" s="11">
        <v>0</v>
      </c>
      <c r="F251" s="11">
        <v>0</v>
      </c>
      <c r="G251" s="11"/>
      <c r="H251" s="11">
        <v>0</v>
      </c>
      <c r="I251" s="11">
        <v>0</v>
      </c>
      <c r="J251" s="11">
        <f t="shared" si="74"/>
        <v>100000000</v>
      </c>
      <c r="K251" s="11">
        <f>19296515-580000</f>
        <v>18716515</v>
      </c>
      <c r="L251" s="10">
        <f t="shared" si="66"/>
        <v>81283485</v>
      </c>
      <c r="M251" s="11">
        <v>7892500</v>
      </c>
      <c r="N251" s="11">
        <v>11404015</v>
      </c>
      <c r="O251" s="11">
        <v>63095257</v>
      </c>
      <c r="P251" s="11">
        <f t="shared" si="77"/>
        <v>36904743</v>
      </c>
      <c r="Q251" s="11">
        <f t="shared" si="75"/>
        <v>7892500</v>
      </c>
      <c r="R251" s="11">
        <f t="shared" si="78"/>
        <v>10824015</v>
      </c>
      <c r="S251" s="111"/>
      <c r="T251" s="113"/>
      <c r="U251" s="113"/>
      <c r="V251" s="113"/>
      <c r="W251" s="113"/>
      <c r="X251" s="113"/>
      <c r="Y251" s="113"/>
      <c r="Z251" s="113"/>
      <c r="AA251" s="113"/>
    </row>
    <row r="252" spans="1:27" s="70" customFormat="1" x14ac:dyDescent="0.25">
      <c r="A252" s="99" t="s">
        <v>480</v>
      </c>
      <c r="B252" s="1" t="s">
        <v>481</v>
      </c>
      <c r="C252" s="11">
        <v>1250570468</v>
      </c>
      <c r="D252" s="11">
        <v>0</v>
      </c>
      <c r="E252" s="11">
        <v>0</v>
      </c>
      <c r="F252" s="11">
        <v>0</v>
      </c>
      <c r="G252" s="11"/>
      <c r="H252" s="11">
        <v>1250570468</v>
      </c>
      <c r="I252" s="11">
        <v>0</v>
      </c>
      <c r="J252" s="11">
        <f t="shared" si="74"/>
        <v>0</v>
      </c>
      <c r="K252" s="11">
        <v>0</v>
      </c>
      <c r="L252" s="10">
        <f t="shared" si="66"/>
        <v>0</v>
      </c>
      <c r="M252" s="11">
        <v>0</v>
      </c>
      <c r="N252" s="11">
        <v>0</v>
      </c>
      <c r="O252" s="11">
        <v>0</v>
      </c>
      <c r="P252" s="11">
        <f t="shared" si="77"/>
        <v>0</v>
      </c>
      <c r="Q252" s="11">
        <f t="shared" si="75"/>
        <v>0</v>
      </c>
      <c r="R252" s="11">
        <f t="shared" si="78"/>
        <v>0</v>
      </c>
      <c r="S252" s="111"/>
      <c r="T252" s="113"/>
      <c r="U252" s="113"/>
      <c r="V252" s="113"/>
      <c r="W252" s="113"/>
      <c r="X252" s="113"/>
      <c r="Y252" s="113"/>
      <c r="Z252" s="113"/>
      <c r="AA252" s="113"/>
    </row>
    <row r="253" spans="1:27" s="70" customFormat="1" x14ac:dyDescent="0.25">
      <c r="A253" s="99" t="s">
        <v>482</v>
      </c>
      <c r="B253" s="1" t="s">
        <v>852</v>
      </c>
      <c r="C253" s="11">
        <v>0</v>
      </c>
      <c r="D253" s="11">
        <v>0</v>
      </c>
      <c r="E253" s="11">
        <v>0</v>
      </c>
      <c r="F253" s="11">
        <v>0</v>
      </c>
      <c r="G253" s="11"/>
      <c r="H253" s="11">
        <v>0</v>
      </c>
      <c r="I253" s="11">
        <v>1546000000</v>
      </c>
      <c r="J253" s="11">
        <f t="shared" si="74"/>
        <v>1546000000</v>
      </c>
      <c r="K253" s="11">
        <v>1502872088</v>
      </c>
      <c r="L253" s="10">
        <f t="shared" si="66"/>
        <v>43127912</v>
      </c>
      <c r="M253" s="11">
        <v>0</v>
      </c>
      <c r="N253" s="11">
        <v>1502872088</v>
      </c>
      <c r="O253" s="11">
        <v>1545987114.0999999</v>
      </c>
      <c r="P253" s="11">
        <f t="shared" si="77"/>
        <v>12885.900000095367</v>
      </c>
      <c r="Q253" s="11">
        <f t="shared" si="75"/>
        <v>0</v>
      </c>
      <c r="R253" s="11">
        <f t="shared" si="78"/>
        <v>1502872088</v>
      </c>
      <c r="S253" s="111"/>
      <c r="T253" s="113"/>
      <c r="U253" s="113"/>
      <c r="V253" s="113"/>
      <c r="W253" s="113"/>
      <c r="X253" s="113"/>
      <c r="Y253" s="113"/>
      <c r="Z253" s="113"/>
      <c r="AA253" s="113"/>
    </row>
    <row r="254" spans="1:27" s="70" customFormat="1" x14ac:dyDescent="0.25">
      <c r="A254" s="99" t="s">
        <v>484</v>
      </c>
      <c r="B254" s="1" t="s">
        <v>485</v>
      </c>
      <c r="C254" s="11">
        <v>0</v>
      </c>
      <c r="D254" s="11">
        <v>0</v>
      </c>
      <c r="E254" s="11">
        <v>0</v>
      </c>
      <c r="F254" s="11">
        <v>0</v>
      </c>
      <c r="G254" s="11"/>
      <c r="H254" s="11">
        <v>0</v>
      </c>
      <c r="I254" s="11">
        <v>293826</v>
      </c>
      <c r="J254" s="11">
        <f t="shared" si="74"/>
        <v>293826</v>
      </c>
      <c r="K254" s="11">
        <v>0</v>
      </c>
      <c r="L254" s="10">
        <f t="shared" si="66"/>
        <v>293826</v>
      </c>
      <c r="M254" s="11">
        <v>0</v>
      </c>
      <c r="N254" s="11">
        <v>0</v>
      </c>
      <c r="O254" s="11">
        <v>0</v>
      </c>
      <c r="P254" s="11">
        <f t="shared" si="77"/>
        <v>293826</v>
      </c>
      <c r="Q254" s="11">
        <f t="shared" si="75"/>
        <v>0</v>
      </c>
      <c r="R254" s="11">
        <f t="shared" si="78"/>
        <v>0</v>
      </c>
      <c r="S254" s="111"/>
      <c r="T254" s="113"/>
      <c r="U254" s="113"/>
      <c r="V254" s="113"/>
      <c r="W254" s="113"/>
      <c r="X254" s="113"/>
      <c r="Y254" s="113"/>
      <c r="Z254" s="113"/>
      <c r="AA254" s="113"/>
    </row>
    <row r="255" spans="1:27" s="70" customFormat="1" x14ac:dyDescent="0.25">
      <c r="A255" s="99" t="s">
        <v>486</v>
      </c>
      <c r="B255" s="1" t="s">
        <v>487</v>
      </c>
      <c r="C255" s="11">
        <v>0</v>
      </c>
      <c r="D255" s="11">
        <v>0</v>
      </c>
      <c r="E255" s="11">
        <v>0</v>
      </c>
      <c r="F255" s="11">
        <v>0</v>
      </c>
      <c r="G255" s="11"/>
      <c r="H255" s="11">
        <v>0</v>
      </c>
      <c r="I255" s="11">
        <v>375863</v>
      </c>
      <c r="J255" s="11">
        <f t="shared" si="74"/>
        <v>375863</v>
      </c>
      <c r="K255" s="11">
        <v>0</v>
      </c>
      <c r="L255" s="10">
        <f t="shared" si="66"/>
        <v>375863</v>
      </c>
      <c r="M255" s="11">
        <v>0</v>
      </c>
      <c r="N255" s="11">
        <v>0</v>
      </c>
      <c r="O255" s="11">
        <v>0</v>
      </c>
      <c r="P255" s="11">
        <f t="shared" si="77"/>
        <v>375863</v>
      </c>
      <c r="Q255" s="11">
        <f t="shared" si="75"/>
        <v>0</v>
      </c>
      <c r="R255" s="11">
        <f t="shared" si="78"/>
        <v>0</v>
      </c>
      <c r="S255" s="111"/>
      <c r="T255" s="113"/>
      <c r="U255" s="113"/>
      <c r="V255" s="113"/>
      <c r="W255" s="113"/>
      <c r="X255" s="113"/>
      <c r="Y255" s="113"/>
      <c r="Z255" s="113"/>
      <c r="AA255" s="113"/>
    </row>
    <row r="256" spans="1:27" s="70" customFormat="1" x14ac:dyDescent="0.25">
      <c r="A256" s="99" t="s">
        <v>488</v>
      </c>
      <c r="B256" s="1" t="s">
        <v>718</v>
      </c>
      <c r="C256" s="11">
        <v>0</v>
      </c>
      <c r="D256" s="11">
        <v>0</v>
      </c>
      <c r="E256" s="11">
        <v>0</v>
      </c>
      <c r="F256" s="11">
        <v>0</v>
      </c>
      <c r="G256" s="11"/>
      <c r="H256" s="11">
        <v>0</v>
      </c>
      <c r="I256" s="11">
        <v>96458000</v>
      </c>
      <c r="J256" s="11">
        <f t="shared" si="74"/>
        <v>96458000</v>
      </c>
      <c r="K256" s="11">
        <v>96457127.849999994</v>
      </c>
      <c r="L256" s="10">
        <f t="shared" si="66"/>
        <v>872.15000000596046</v>
      </c>
      <c r="M256" s="11">
        <v>0</v>
      </c>
      <c r="N256" s="11">
        <v>96457127.849999994</v>
      </c>
      <c r="O256" s="11">
        <v>96457127.849999994</v>
      </c>
      <c r="P256" s="11">
        <f t="shared" ref="P256:P287" si="79">+J256-O256</f>
        <v>872.15000000596046</v>
      </c>
      <c r="Q256" s="11">
        <f t="shared" si="75"/>
        <v>0</v>
      </c>
      <c r="R256" s="11">
        <f t="shared" si="78"/>
        <v>96457127.849999994</v>
      </c>
      <c r="S256" s="111"/>
      <c r="T256" s="113"/>
      <c r="U256" s="113"/>
      <c r="V256" s="113"/>
      <c r="W256" s="113"/>
      <c r="X256" s="113"/>
      <c r="Y256" s="113"/>
      <c r="Z256" s="113"/>
      <c r="AA256" s="113"/>
    </row>
    <row r="257" spans="1:27" s="70" customFormat="1" x14ac:dyDescent="0.25">
      <c r="A257" s="99" t="s">
        <v>489</v>
      </c>
      <c r="B257" s="1" t="s">
        <v>719</v>
      </c>
      <c r="C257" s="11">
        <v>0</v>
      </c>
      <c r="D257" s="11">
        <v>0</v>
      </c>
      <c r="E257" s="11">
        <v>0</v>
      </c>
      <c r="F257" s="11">
        <v>0</v>
      </c>
      <c r="G257" s="11"/>
      <c r="H257" s="11">
        <v>0</v>
      </c>
      <c r="I257" s="11">
        <v>4583795</v>
      </c>
      <c r="J257" s="11">
        <f t="shared" si="74"/>
        <v>4583795</v>
      </c>
      <c r="K257" s="11">
        <v>4543216.25</v>
      </c>
      <c r="L257" s="10">
        <f t="shared" si="66"/>
        <v>40578.75</v>
      </c>
      <c r="M257" s="11">
        <v>4543215.8499999996</v>
      </c>
      <c r="N257" s="11">
        <v>0.40000000037252903</v>
      </c>
      <c r="O257" s="11">
        <v>4583794.25</v>
      </c>
      <c r="P257" s="11">
        <f t="shared" si="79"/>
        <v>0.75</v>
      </c>
      <c r="Q257" s="11">
        <f t="shared" si="75"/>
        <v>4543215.8499999996</v>
      </c>
      <c r="R257" s="11">
        <f t="shared" si="78"/>
        <v>0.40000000037252903</v>
      </c>
      <c r="S257" s="111"/>
      <c r="T257" s="113"/>
      <c r="U257" s="113"/>
      <c r="V257" s="113"/>
      <c r="W257" s="113"/>
      <c r="X257" s="113"/>
      <c r="Y257" s="113"/>
      <c r="Z257" s="113"/>
      <c r="AA257" s="113"/>
    </row>
    <row r="258" spans="1:27" s="70" customFormat="1" x14ac:dyDescent="0.25">
      <c r="A258" s="99" t="s">
        <v>490</v>
      </c>
      <c r="B258" s="1" t="s">
        <v>720</v>
      </c>
      <c r="C258" s="11">
        <v>0</v>
      </c>
      <c r="D258" s="11">
        <v>0</v>
      </c>
      <c r="E258" s="11">
        <v>0</v>
      </c>
      <c r="F258" s="11">
        <v>0</v>
      </c>
      <c r="G258" s="11"/>
      <c r="H258" s="11">
        <v>0</v>
      </c>
      <c r="I258" s="11">
        <v>178115044</v>
      </c>
      <c r="J258" s="11">
        <f t="shared" ref="J258:J321" si="80">+C258+D258-E258-F258+G258-H258+I258</f>
        <v>178115044</v>
      </c>
      <c r="K258" s="11">
        <v>0</v>
      </c>
      <c r="L258" s="10">
        <f t="shared" si="66"/>
        <v>178115044</v>
      </c>
      <c r="M258" s="11">
        <v>0</v>
      </c>
      <c r="N258" s="11">
        <v>0</v>
      </c>
      <c r="O258" s="11">
        <v>0</v>
      </c>
      <c r="P258" s="11">
        <f t="shared" si="79"/>
        <v>178115044</v>
      </c>
      <c r="Q258" s="11">
        <f t="shared" ref="Q258:Q291" si="81">+M258</f>
        <v>0</v>
      </c>
      <c r="R258" s="11">
        <f t="shared" si="78"/>
        <v>0</v>
      </c>
      <c r="S258" s="111"/>
      <c r="T258" s="113"/>
      <c r="U258" s="113"/>
      <c r="V258" s="113"/>
      <c r="W258" s="113"/>
      <c r="X258" s="113"/>
      <c r="Y258" s="113"/>
      <c r="Z258" s="113"/>
      <c r="AA258" s="113"/>
    </row>
    <row r="259" spans="1:27" s="70" customFormat="1" x14ac:dyDescent="0.25">
      <c r="A259" s="99" t="s">
        <v>491</v>
      </c>
      <c r="B259" s="1" t="s">
        <v>721</v>
      </c>
      <c r="C259" s="11">
        <v>0</v>
      </c>
      <c r="D259" s="11">
        <v>0</v>
      </c>
      <c r="E259" s="11">
        <v>0</v>
      </c>
      <c r="F259" s="11">
        <v>0</v>
      </c>
      <c r="G259" s="11"/>
      <c r="H259" s="11">
        <v>0</v>
      </c>
      <c r="I259" s="11">
        <v>171420985</v>
      </c>
      <c r="J259" s="11">
        <f t="shared" si="80"/>
        <v>171420985</v>
      </c>
      <c r="K259" s="11">
        <f>166878551-114880</f>
        <v>166763671</v>
      </c>
      <c r="L259" s="10">
        <f t="shared" si="66"/>
        <v>4657314</v>
      </c>
      <c r="M259" s="11">
        <v>166763671</v>
      </c>
      <c r="N259" s="11">
        <v>114880</v>
      </c>
      <c r="O259" s="11">
        <v>171228346</v>
      </c>
      <c r="P259" s="11">
        <f t="shared" si="79"/>
        <v>192639</v>
      </c>
      <c r="Q259" s="11">
        <f t="shared" si="81"/>
        <v>166763671</v>
      </c>
      <c r="R259" s="11">
        <f t="shared" si="78"/>
        <v>0</v>
      </c>
      <c r="S259" s="111"/>
      <c r="T259" s="113"/>
      <c r="U259" s="113"/>
      <c r="V259" s="113"/>
      <c r="W259" s="113"/>
      <c r="X259" s="113"/>
      <c r="Y259" s="113"/>
      <c r="Z259" s="113"/>
      <c r="AA259" s="113"/>
    </row>
    <row r="260" spans="1:27" s="70" customFormat="1" x14ac:dyDescent="0.25">
      <c r="A260" s="99" t="s">
        <v>492</v>
      </c>
      <c r="B260" s="1" t="s">
        <v>722</v>
      </c>
      <c r="C260" s="11">
        <v>0</v>
      </c>
      <c r="D260" s="11">
        <v>0</v>
      </c>
      <c r="E260" s="11">
        <v>0</v>
      </c>
      <c r="F260" s="11">
        <v>0</v>
      </c>
      <c r="G260" s="11"/>
      <c r="H260" s="11">
        <v>0</v>
      </c>
      <c r="I260" s="11">
        <v>12301644</v>
      </c>
      <c r="J260" s="11">
        <f t="shared" si="80"/>
        <v>12301644</v>
      </c>
      <c r="K260" s="11">
        <v>0</v>
      </c>
      <c r="L260" s="10">
        <f t="shared" si="66"/>
        <v>12301644</v>
      </c>
      <c r="M260" s="11">
        <v>0</v>
      </c>
      <c r="N260" s="11">
        <v>0</v>
      </c>
      <c r="O260" s="11">
        <v>0</v>
      </c>
      <c r="P260" s="11">
        <f t="shared" si="79"/>
        <v>12301644</v>
      </c>
      <c r="Q260" s="11">
        <f t="shared" si="81"/>
        <v>0</v>
      </c>
      <c r="R260" s="11">
        <f t="shared" si="78"/>
        <v>0</v>
      </c>
      <c r="S260" s="111"/>
      <c r="T260" s="113"/>
      <c r="U260" s="113"/>
      <c r="V260" s="113"/>
      <c r="W260" s="113"/>
      <c r="X260" s="113"/>
      <c r="Y260" s="113"/>
      <c r="Z260" s="113"/>
      <c r="AA260" s="113"/>
    </row>
    <row r="261" spans="1:27" s="70" customFormat="1" x14ac:dyDescent="0.25">
      <c r="A261" s="99" t="s">
        <v>493</v>
      </c>
      <c r="B261" s="1" t="s">
        <v>723</v>
      </c>
      <c r="C261" s="11">
        <v>0</v>
      </c>
      <c r="D261" s="11">
        <v>0</v>
      </c>
      <c r="E261" s="11">
        <v>0</v>
      </c>
      <c r="F261" s="11">
        <v>0</v>
      </c>
      <c r="G261" s="11"/>
      <c r="H261" s="11">
        <v>0</v>
      </c>
      <c r="I261" s="11">
        <v>58349321</v>
      </c>
      <c r="J261" s="11">
        <f t="shared" si="80"/>
        <v>58349321</v>
      </c>
      <c r="K261" s="11">
        <v>0</v>
      </c>
      <c r="L261" s="10">
        <f t="shared" si="66"/>
        <v>58349321</v>
      </c>
      <c r="M261" s="11">
        <v>0</v>
      </c>
      <c r="N261" s="11">
        <v>0</v>
      </c>
      <c r="O261" s="11">
        <v>0</v>
      </c>
      <c r="P261" s="11">
        <f t="shared" si="79"/>
        <v>58349321</v>
      </c>
      <c r="Q261" s="11">
        <f t="shared" si="81"/>
        <v>0</v>
      </c>
      <c r="R261" s="11">
        <f t="shared" si="78"/>
        <v>0</v>
      </c>
      <c r="S261" s="111"/>
      <c r="T261" s="113"/>
      <c r="U261" s="113"/>
      <c r="V261" s="113"/>
      <c r="W261" s="113"/>
      <c r="X261" s="113"/>
      <c r="Y261" s="113"/>
      <c r="Z261" s="113"/>
      <c r="AA261" s="113"/>
    </row>
    <row r="262" spans="1:27" s="70" customFormat="1" x14ac:dyDescent="0.25">
      <c r="A262" s="99" t="s">
        <v>494</v>
      </c>
      <c r="B262" s="1" t="s">
        <v>724</v>
      </c>
      <c r="C262" s="11">
        <v>0</v>
      </c>
      <c r="D262" s="11">
        <v>0</v>
      </c>
      <c r="E262" s="11">
        <v>0</v>
      </c>
      <c r="F262" s="11">
        <v>0</v>
      </c>
      <c r="G262" s="11"/>
      <c r="H262" s="11">
        <v>0</v>
      </c>
      <c r="I262" s="11">
        <v>472429</v>
      </c>
      <c r="J262" s="11">
        <f t="shared" si="80"/>
        <v>472429</v>
      </c>
      <c r="K262" s="11">
        <v>0</v>
      </c>
      <c r="L262" s="10">
        <f t="shared" ref="L262:L325" si="82">+J262-K262</f>
        <v>472429</v>
      </c>
      <c r="M262" s="11">
        <v>0</v>
      </c>
      <c r="N262" s="11">
        <v>0</v>
      </c>
      <c r="O262" s="11">
        <v>0</v>
      </c>
      <c r="P262" s="11">
        <f t="shared" si="79"/>
        <v>472429</v>
      </c>
      <c r="Q262" s="11">
        <f t="shared" si="81"/>
        <v>0</v>
      </c>
      <c r="R262" s="11">
        <f t="shared" si="78"/>
        <v>0</v>
      </c>
      <c r="S262" s="111"/>
      <c r="T262" s="113"/>
      <c r="U262" s="113"/>
      <c r="V262" s="113"/>
      <c r="W262" s="113"/>
      <c r="X262" s="113"/>
      <c r="Y262" s="113"/>
      <c r="Z262" s="113"/>
      <c r="AA262" s="113"/>
    </row>
    <row r="263" spans="1:27" s="70" customFormat="1" x14ac:dyDescent="0.25">
      <c r="A263" s="99" t="s">
        <v>495</v>
      </c>
      <c r="B263" s="1" t="s">
        <v>725</v>
      </c>
      <c r="C263" s="11">
        <v>0</v>
      </c>
      <c r="D263" s="11">
        <v>0</v>
      </c>
      <c r="E263" s="11">
        <v>0</v>
      </c>
      <c r="F263" s="11">
        <v>0</v>
      </c>
      <c r="G263" s="11"/>
      <c r="H263" s="11">
        <v>0</v>
      </c>
      <c r="I263" s="11">
        <v>49687866</v>
      </c>
      <c r="J263" s="11">
        <f t="shared" si="80"/>
        <v>49687866</v>
      </c>
      <c r="K263" s="11">
        <v>0</v>
      </c>
      <c r="L263" s="10">
        <f t="shared" si="82"/>
        <v>49687866</v>
      </c>
      <c r="M263" s="11">
        <v>0</v>
      </c>
      <c r="N263" s="11">
        <v>0</v>
      </c>
      <c r="O263" s="11">
        <v>0</v>
      </c>
      <c r="P263" s="11">
        <f t="shared" si="79"/>
        <v>49687866</v>
      </c>
      <c r="Q263" s="11">
        <f t="shared" si="81"/>
        <v>0</v>
      </c>
      <c r="R263" s="11">
        <f t="shared" si="78"/>
        <v>0</v>
      </c>
      <c r="S263" s="111"/>
      <c r="T263" s="113"/>
      <c r="U263" s="113"/>
      <c r="V263" s="113"/>
      <c r="W263" s="113"/>
      <c r="X263" s="113"/>
      <c r="Y263" s="113"/>
      <c r="Z263" s="113"/>
      <c r="AA263" s="113"/>
    </row>
    <row r="264" spans="1:27" s="70" customFormat="1" x14ac:dyDescent="0.25">
      <c r="A264" s="99" t="s">
        <v>496</v>
      </c>
      <c r="B264" s="1" t="s">
        <v>726</v>
      </c>
      <c r="C264" s="11">
        <v>0</v>
      </c>
      <c r="D264" s="11">
        <v>0</v>
      </c>
      <c r="E264" s="11">
        <v>0</v>
      </c>
      <c r="F264" s="11">
        <v>0</v>
      </c>
      <c r="G264" s="11"/>
      <c r="H264" s="11">
        <v>0</v>
      </c>
      <c r="I264" s="11">
        <v>92800</v>
      </c>
      <c r="J264" s="11">
        <f t="shared" si="80"/>
        <v>92800</v>
      </c>
      <c r="K264" s="11">
        <v>0</v>
      </c>
      <c r="L264" s="10">
        <f t="shared" si="82"/>
        <v>92800</v>
      </c>
      <c r="M264" s="11">
        <v>0</v>
      </c>
      <c r="N264" s="11">
        <v>0</v>
      </c>
      <c r="O264" s="11">
        <v>0</v>
      </c>
      <c r="P264" s="11">
        <f t="shared" si="79"/>
        <v>92800</v>
      </c>
      <c r="Q264" s="11">
        <f t="shared" si="81"/>
        <v>0</v>
      </c>
      <c r="R264" s="11">
        <f t="shared" si="78"/>
        <v>0</v>
      </c>
      <c r="S264" s="111"/>
      <c r="T264" s="113"/>
      <c r="U264" s="113"/>
      <c r="V264" s="113"/>
      <c r="W264" s="113"/>
      <c r="X264" s="113"/>
      <c r="Y264" s="113"/>
      <c r="Z264" s="113"/>
      <c r="AA264" s="113"/>
    </row>
    <row r="265" spans="1:27" s="70" customFormat="1" x14ac:dyDescent="0.25">
      <c r="A265" s="99" t="s">
        <v>497</v>
      </c>
      <c r="B265" s="1" t="s">
        <v>727</v>
      </c>
      <c r="C265" s="11">
        <v>0</v>
      </c>
      <c r="D265" s="11">
        <v>0</v>
      </c>
      <c r="E265" s="11">
        <v>0</v>
      </c>
      <c r="F265" s="11">
        <v>0</v>
      </c>
      <c r="G265" s="11"/>
      <c r="H265" s="11">
        <v>0</v>
      </c>
      <c r="I265" s="11">
        <v>38181859</v>
      </c>
      <c r="J265" s="11">
        <f t="shared" si="80"/>
        <v>38181859</v>
      </c>
      <c r="K265" s="11">
        <v>0</v>
      </c>
      <c r="L265" s="10">
        <f t="shared" si="82"/>
        <v>38181859</v>
      </c>
      <c r="M265" s="11">
        <v>0</v>
      </c>
      <c r="N265" s="11">
        <v>0</v>
      </c>
      <c r="O265" s="11">
        <v>0</v>
      </c>
      <c r="P265" s="11">
        <f t="shared" si="79"/>
        <v>38181859</v>
      </c>
      <c r="Q265" s="11">
        <f t="shared" si="81"/>
        <v>0</v>
      </c>
      <c r="R265" s="11">
        <f t="shared" si="78"/>
        <v>0</v>
      </c>
      <c r="S265" s="111"/>
      <c r="T265" s="113"/>
      <c r="U265" s="113"/>
      <c r="V265" s="113"/>
      <c r="W265" s="113"/>
      <c r="X265" s="113"/>
      <c r="Y265" s="113"/>
      <c r="Z265" s="113"/>
      <c r="AA265" s="113"/>
    </row>
    <row r="266" spans="1:27" s="70" customFormat="1" x14ac:dyDescent="0.25">
      <c r="A266" s="99" t="s">
        <v>498</v>
      </c>
      <c r="B266" s="1" t="s">
        <v>728</v>
      </c>
      <c r="C266" s="11">
        <v>0</v>
      </c>
      <c r="D266" s="11">
        <v>0</v>
      </c>
      <c r="E266" s="11">
        <v>0</v>
      </c>
      <c r="F266" s="11">
        <v>0</v>
      </c>
      <c r="G266" s="11"/>
      <c r="H266" s="11">
        <v>0</v>
      </c>
      <c r="I266" s="11">
        <v>217637</v>
      </c>
      <c r="J266" s="11">
        <f t="shared" si="80"/>
        <v>217637</v>
      </c>
      <c r="K266" s="11">
        <v>0</v>
      </c>
      <c r="L266" s="10">
        <f t="shared" si="82"/>
        <v>217637</v>
      </c>
      <c r="M266" s="11">
        <v>0</v>
      </c>
      <c r="N266" s="11">
        <v>0</v>
      </c>
      <c r="O266" s="11">
        <v>0</v>
      </c>
      <c r="P266" s="11">
        <f t="shared" si="79"/>
        <v>217637</v>
      </c>
      <c r="Q266" s="11">
        <f t="shared" si="81"/>
        <v>0</v>
      </c>
      <c r="R266" s="11">
        <f t="shared" si="78"/>
        <v>0</v>
      </c>
      <c r="S266" s="111"/>
      <c r="T266" s="113"/>
      <c r="U266" s="113"/>
      <c r="V266" s="113"/>
      <c r="W266" s="113"/>
      <c r="X266" s="113"/>
      <c r="Y266" s="113"/>
      <c r="Z266" s="113"/>
      <c r="AA266" s="113"/>
    </row>
    <row r="267" spans="1:27" s="70" customFormat="1" x14ac:dyDescent="0.25">
      <c r="A267" s="99" t="s">
        <v>499</v>
      </c>
      <c r="B267" s="1" t="s">
        <v>729</v>
      </c>
      <c r="C267" s="11">
        <v>0</v>
      </c>
      <c r="D267" s="11">
        <v>0</v>
      </c>
      <c r="E267" s="11">
        <v>0</v>
      </c>
      <c r="F267" s="11">
        <v>0</v>
      </c>
      <c r="G267" s="11"/>
      <c r="H267" s="11">
        <v>0</v>
      </c>
      <c r="I267" s="11">
        <v>13485832.52</v>
      </c>
      <c r="J267" s="11">
        <f t="shared" si="80"/>
        <v>13485832.52</v>
      </c>
      <c r="K267" s="11">
        <v>13485832.52</v>
      </c>
      <c r="L267" s="10">
        <f t="shared" si="82"/>
        <v>0</v>
      </c>
      <c r="M267" s="11">
        <v>13485832</v>
      </c>
      <c r="N267" s="11">
        <v>0.51999999955296516</v>
      </c>
      <c r="O267" s="11">
        <v>13485832.52</v>
      </c>
      <c r="P267" s="11">
        <f t="shared" si="79"/>
        <v>0</v>
      </c>
      <c r="Q267" s="11">
        <f t="shared" si="81"/>
        <v>13485832</v>
      </c>
      <c r="R267" s="11">
        <f t="shared" si="78"/>
        <v>0.51999999955296516</v>
      </c>
      <c r="S267" s="111"/>
      <c r="T267" s="113"/>
      <c r="U267" s="113"/>
      <c r="V267" s="113"/>
      <c r="W267" s="113"/>
      <c r="X267" s="113"/>
      <c r="Y267" s="113"/>
      <c r="Z267" s="113"/>
      <c r="AA267" s="113"/>
    </row>
    <row r="268" spans="1:27" s="70" customFormat="1" x14ac:dyDescent="0.25">
      <c r="A268" s="99" t="s">
        <v>500</v>
      </c>
      <c r="B268" s="1" t="s">
        <v>730</v>
      </c>
      <c r="C268" s="11">
        <v>0</v>
      </c>
      <c r="D268" s="11">
        <v>0</v>
      </c>
      <c r="E268" s="11">
        <v>0</v>
      </c>
      <c r="F268" s="11">
        <v>0</v>
      </c>
      <c r="G268" s="11"/>
      <c r="H268" s="11">
        <v>0</v>
      </c>
      <c r="I268" s="11">
        <v>13162150</v>
      </c>
      <c r="J268" s="11">
        <f t="shared" si="80"/>
        <v>13162150</v>
      </c>
      <c r="K268" s="11">
        <f>8716990-197640</f>
        <v>8519350</v>
      </c>
      <c r="L268" s="10">
        <f t="shared" si="82"/>
        <v>4642800</v>
      </c>
      <c r="M268" s="11">
        <v>8519350</v>
      </c>
      <c r="N268" s="11">
        <v>197640</v>
      </c>
      <c r="O268" s="11">
        <v>12124380</v>
      </c>
      <c r="P268" s="11">
        <f t="shared" si="79"/>
        <v>1037770</v>
      </c>
      <c r="Q268" s="11">
        <f t="shared" si="81"/>
        <v>8519350</v>
      </c>
      <c r="R268" s="11">
        <f t="shared" si="78"/>
        <v>0</v>
      </c>
      <c r="S268" s="111"/>
      <c r="T268" s="113"/>
      <c r="U268" s="113"/>
      <c r="V268" s="113"/>
      <c r="W268" s="113"/>
      <c r="X268" s="113"/>
      <c r="Y268" s="113"/>
      <c r="Z268" s="113"/>
      <c r="AA268" s="113"/>
    </row>
    <row r="269" spans="1:27" s="70" customFormat="1" x14ac:dyDescent="0.25">
      <c r="A269" s="99" t="s">
        <v>501</v>
      </c>
      <c r="B269" s="1" t="s">
        <v>731</v>
      </c>
      <c r="C269" s="11">
        <v>0</v>
      </c>
      <c r="D269" s="11">
        <v>0</v>
      </c>
      <c r="E269" s="11">
        <v>0</v>
      </c>
      <c r="F269" s="11">
        <v>0</v>
      </c>
      <c r="G269" s="11"/>
      <c r="H269" s="11">
        <v>0</v>
      </c>
      <c r="I269" s="11">
        <v>522370</v>
      </c>
      <c r="J269" s="11">
        <f t="shared" si="80"/>
        <v>522370</v>
      </c>
      <c r="K269" s="11">
        <v>0</v>
      </c>
      <c r="L269" s="10">
        <f t="shared" si="82"/>
        <v>522370</v>
      </c>
      <c r="M269" s="11">
        <v>0</v>
      </c>
      <c r="N269" s="11">
        <v>0</v>
      </c>
      <c r="O269" s="11">
        <v>0</v>
      </c>
      <c r="P269" s="11">
        <f t="shared" si="79"/>
        <v>522370</v>
      </c>
      <c r="Q269" s="11">
        <f t="shared" si="81"/>
        <v>0</v>
      </c>
      <c r="R269" s="11">
        <f t="shared" si="78"/>
        <v>0</v>
      </c>
      <c r="S269" s="111"/>
      <c r="T269" s="113"/>
      <c r="U269" s="113"/>
      <c r="V269" s="113"/>
      <c r="W269" s="113"/>
      <c r="X269" s="113"/>
      <c r="Y269" s="113"/>
      <c r="Z269" s="113"/>
      <c r="AA269" s="113"/>
    </row>
    <row r="270" spans="1:27" s="70" customFormat="1" x14ac:dyDescent="0.25">
      <c r="A270" s="99" t="s">
        <v>502</v>
      </c>
      <c r="B270" s="1" t="s">
        <v>732</v>
      </c>
      <c r="C270" s="11">
        <v>0</v>
      </c>
      <c r="D270" s="11">
        <v>0</v>
      </c>
      <c r="E270" s="11">
        <v>0</v>
      </c>
      <c r="F270" s="11">
        <v>0</v>
      </c>
      <c r="G270" s="11"/>
      <c r="H270" s="11">
        <v>0</v>
      </c>
      <c r="I270" s="11">
        <v>75000000</v>
      </c>
      <c r="J270" s="11">
        <f t="shared" si="80"/>
        <v>75000000</v>
      </c>
      <c r="K270" s="11">
        <v>0</v>
      </c>
      <c r="L270" s="10">
        <f t="shared" si="82"/>
        <v>75000000</v>
      </c>
      <c r="M270" s="11">
        <v>0</v>
      </c>
      <c r="N270" s="11">
        <v>0</v>
      </c>
      <c r="O270" s="11">
        <v>40000000</v>
      </c>
      <c r="P270" s="11">
        <f t="shared" si="79"/>
        <v>35000000</v>
      </c>
      <c r="Q270" s="11">
        <f t="shared" si="81"/>
        <v>0</v>
      </c>
      <c r="R270" s="11">
        <f t="shared" si="78"/>
        <v>0</v>
      </c>
      <c r="S270" s="111"/>
      <c r="T270" s="113"/>
      <c r="U270" s="113"/>
      <c r="V270" s="113"/>
      <c r="W270" s="113"/>
      <c r="X270" s="113"/>
      <c r="Y270" s="113"/>
      <c r="Z270" s="113"/>
      <c r="AA270" s="113"/>
    </row>
    <row r="271" spans="1:27" s="70" customFormat="1" x14ac:dyDescent="0.25">
      <c r="A271" s="99" t="s">
        <v>503</v>
      </c>
      <c r="B271" s="1" t="s">
        <v>504</v>
      </c>
      <c r="C271" s="11">
        <v>0</v>
      </c>
      <c r="D271" s="11">
        <v>0</v>
      </c>
      <c r="E271" s="11">
        <v>0</v>
      </c>
      <c r="F271" s="11">
        <v>0</v>
      </c>
      <c r="G271" s="11"/>
      <c r="H271" s="11">
        <v>0</v>
      </c>
      <c r="I271" s="11">
        <v>1133318875</v>
      </c>
      <c r="J271" s="11">
        <f t="shared" si="80"/>
        <v>1133318875</v>
      </c>
      <c r="K271" s="11">
        <v>0</v>
      </c>
      <c r="L271" s="10">
        <f t="shared" si="82"/>
        <v>1133318875</v>
      </c>
      <c r="M271" s="11">
        <v>0</v>
      </c>
      <c r="N271" s="11">
        <v>0</v>
      </c>
      <c r="O271" s="11">
        <v>0</v>
      </c>
      <c r="P271" s="11">
        <f t="shared" si="79"/>
        <v>1133318875</v>
      </c>
      <c r="Q271" s="11">
        <f t="shared" si="81"/>
        <v>0</v>
      </c>
      <c r="R271" s="11">
        <f t="shared" si="78"/>
        <v>0</v>
      </c>
      <c r="S271" s="111"/>
      <c r="T271" s="113"/>
      <c r="U271" s="113"/>
      <c r="V271" s="113"/>
      <c r="W271" s="113"/>
      <c r="X271" s="113"/>
      <c r="Y271" s="113"/>
      <c r="Z271" s="113"/>
      <c r="AA271" s="113"/>
    </row>
    <row r="272" spans="1:27" s="70" customFormat="1" x14ac:dyDescent="0.25">
      <c r="A272" s="99" t="s">
        <v>505</v>
      </c>
      <c r="B272" s="1" t="s">
        <v>506</v>
      </c>
      <c r="C272" s="11">
        <v>0</v>
      </c>
      <c r="D272" s="11">
        <v>0</v>
      </c>
      <c r="E272" s="11">
        <v>0</v>
      </c>
      <c r="F272" s="11">
        <v>0</v>
      </c>
      <c r="G272" s="11"/>
      <c r="H272" s="11">
        <v>0</v>
      </c>
      <c r="I272" s="11">
        <v>14860459.529999999</v>
      </c>
      <c r="J272" s="11">
        <f t="shared" si="80"/>
        <v>14860459.529999999</v>
      </c>
      <c r="K272" s="11">
        <v>0</v>
      </c>
      <c r="L272" s="10">
        <f t="shared" si="82"/>
        <v>14860459.529999999</v>
      </c>
      <c r="M272" s="11">
        <v>0</v>
      </c>
      <c r="N272" s="11">
        <v>0</v>
      </c>
      <c r="O272" s="11">
        <v>0</v>
      </c>
      <c r="P272" s="11">
        <f t="shared" si="79"/>
        <v>14860459.529999999</v>
      </c>
      <c r="Q272" s="11">
        <f t="shared" si="81"/>
        <v>0</v>
      </c>
      <c r="R272" s="11">
        <f t="shared" si="78"/>
        <v>0</v>
      </c>
      <c r="S272" s="111"/>
      <c r="T272" s="113"/>
      <c r="U272" s="113"/>
      <c r="V272" s="113"/>
      <c r="W272" s="113"/>
      <c r="X272" s="113"/>
      <c r="Y272" s="113"/>
      <c r="Z272" s="113"/>
      <c r="AA272" s="113"/>
    </row>
    <row r="273" spans="1:27" s="70" customFormat="1" x14ac:dyDescent="0.25">
      <c r="A273" s="99" t="s">
        <v>507</v>
      </c>
      <c r="B273" s="1" t="s">
        <v>508</v>
      </c>
      <c r="C273" s="11">
        <v>0</v>
      </c>
      <c r="D273" s="11">
        <v>0</v>
      </c>
      <c r="E273" s="11">
        <v>0</v>
      </c>
      <c r="F273" s="11">
        <v>0</v>
      </c>
      <c r="G273" s="11"/>
      <c r="H273" s="11">
        <v>0</v>
      </c>
      <c r="I273" s="11">
        <v>29007155</v>
      </c>
      <c r="J273" s="11">
        <f t="shared" si="80"/>
        <v>29007155</v>
      </c>
      <c r="K273" s="11">
        <v>0</v>
      </c>
      <c r="L273" s="10">
        <f t="shared" si="82"/>
        <v>29007155</v>
      </c>
      <c r="M273" s="11">
        <v>0</v>
      </c>
      <c r="N273" s="11">
        <v>0</v>
      </c>
      <c r="O273" s="11">
        <v>0</v>
      </c>
      <c r="P273" s="11">
        <f t="shared" si="79"/>
        <v>29007155</v>
      </c>
      <c r="Q273" s="11">
        <f t="shared" si="81"/>
        <v>0</v>
      </c>
      <c r="R273" s="11">
        <f t="shared" si="78"/>
        <v>0</v>
      </c>
      <c r="S273" s="111"/>
      <c r="T273" s="113"/>
      <c r="U273" s="113"/>
      <c r="V273" s="113"/>
      <c r="W273" s="113"/>
      <c r="X273" s="113"/>
      <c r="Y273" s="113"/>
      <c r="Z273" s="113"/>
      <c r="AA273" s="113"/>
    </row>
    <row r="274" spans="1:27" s="70" customFormat="1" x14ac:dyDescent="0.25">
      <c r="A274" s="99" t="s">
        <v>509</v>
      </c>
      <c r="B274" s="1" t="s">
        <v>510</v>
      </c>
      <c r="C274" s="11">
        <v>0</v>
      </c>
      <c r="D274" s="11">
        <v>0</v>
      </c>
      <c r="E274" s="11">
        <v>0</v>
      </c>
      <c r="F274" s="11">
        <v>0</v>
      </c>
      <c r="G274" s="11"/>
      <c r="H274" s="11">
        <v>0</v>
      </c>
      <c r="I274" s="11">
        <v>106287600</v>
      </c>
      <c r="J274" s="11">
        <f t="shared" si="80"/>
        <v>106287600</v>
      </c>
      <c r="K274" s="11">
        <f>106287600-1128486</f>
        <v>105159114</v>
      </c>
      <c r="L274" s="10">
        <f t="shared" si="82"/>
        <v>1128486</v>
      </c>
      <c r="M274" s="11">
        <v>91760886</v>
      </c>
      <c r="N274" s="11">
        <v>30499114</v>
      </c>
      <c r="O274" s="11">
        <v>106285351</v>
      </c>
      <c r="P274" s="11">
        <f t="shared" si="79"/>
        <v>2249</v>
      </c>
      <c r="Q274" s="11">
        <f t="shared" si="81"/>
        <v>91760886</v>
      </c>
      <c r="R274" s="11">
        <f t="shared" si="78"/>
        <v>13398228</v>
      </c>
      <c r="S274" s="111"/>
      <c r="T274" s="113"/>
      <c r="U274" s="113"/>
      <c r="V274" s="113"/>
      <c r="W274" s="113"/>
      <c r="X274" s="113"/>
      <c r="Y274" s="113"/>
      <c r="Z274" s="113"/>
      <c r="AA274" s="113"/>
    </row>
    <row r="275" spans="1:27" s="70" customFormat="1" x14ac:dyDescent="0.25">
      <c r="A275" s="99" t="s">
        <v>511</v>
      </c>
      <c r="B275" s="1" t="s">
        <v>512</v>
      </c>
      <c r="C275" s="11">
        <v>0</v>
      </c>
      <c r="D275" s="11">
        <v>0</v>
      </c>
      <c r="E275" s="11">
        <v>0</v>
      </c>
      <c r="F275" s="11">
        <v>0</v>
      </c>
      <c r="G275" s="11"/>
      <c r="H275" s="11">
        <v>0</v>
      </c>
      <c r="I275" s="11">
        <v>20660121</v>
      </c>
      <c r="J275" s="11">
        <f t="shared" si="80"/>
        <v>20660121</v>
      </c>
      <c r="K275" s="11">
        <v>17980000</v>
      </c>
      <c r="L275" s="10">
        <f t="shared" si="82"/>
        <v>2680121</v>
      </c>
      <c r="M275" s="11">
        <v>17980000</v>
      </c>
      <c r="N275" s="11">
        <v>1332000</v>
      </c>
      <c r="O275" s="11">
        <v>17980000</v>
      </c>
      <c r="P275" s="11">
        <f t="shared" si="79"/>
        <v>2680121</v>
      </c>
      <c r="Q275" s="11">
        <f t="shared" si="81"/>
        <v>17980000</v>
      </c>
      <c r="R275" s="11">
        <f t="shared" si="78"/>
        <v>0</v>
      </c>
      <c r="S275" s="111"/>
      <c r="T275" s="113"/>
      <c r="U275" s="113"/>
      <c r="V275" s="113"/>
      <c r="W275" s="113"/>
      <c r="X275" s="113"/>
      <c r="Y275" s="113"/>
      <c r="Z275" s="113"/>
      <c r="AA275" s="113"/>
    </row>
    <row r="276" spans="1:27" s="70" customFormat="1" x14ac:dyDescent="0.25">
      <c r="A276" s="99" t="s">
        <v>513</v>
      </c>
      <c r="B276" s="1" t="s">
        <v>514</v>
      </c>
      <c r="C276" s="11">
        <v>0</v>
      </c>
      <c r="D276" s="11">
        <v>0</v>
      </c>
      <c r="E276" s="11">
        <v>0</v>
      </c>
      <c r="F276" s="11">
        <v>0</v>
      </c>
      <c r="G276" s="11"/>
      <c r="H276" s="11">
        <v>0</v>
      </c>
      <c r="I276" s="11">
        <v>108040401</v>
      </c>
      <c r="J276" s="11">
        <f t="shared" si="80"/>
        <v>108040401</v>
      </c>
      <c r="K276" s="11">
        <v>0</v>
      </c>
      <c r="L276" s="10">
        <f t="shared" si="82"/>
        <v>108040401</v>
      </c>
      <c r="M276" s="11">
        <v>0</v>
      </c>
      <c r="N276" s="11">
        <v>0</v>
      </c>
      <c r="O276" s="11">
        <v>0</v>
      </c>
      <c r="P276" s="11">
        <f t="shared" si="79"/>
        <v>108040401</v>
      </c>
      <c r="Q276" s="11">
        <f t="shared" si="81"/>
        <v>0</v>
      </c>
      <c r="R276" s="11">
        <f t="shared" si="78"/>
        <v>0</v>
      </c>
      <c r="S276" s="111"/>
      <c r="T276" s="113"/>
      <c r="U276" s="113"/>
      <c r="V276" s="113"/>
      <c r="W276" s="113"/>
      <c r="X276" s="113"/>
      <c r="Y276" s="113"/>
      <c r="Z276" s="113"/>
      <c r="AA276" s="113"/>
    </row>
    <row r="277" spans="1:27" s="70" customFormat="1" x14ac:dyDescent="0.25">
      <c r="A277" s="99" t="s">
        <v>515</v>
      </c>
      <c r="B277" s="1" t="s">
        <v>516</v>
      </c>
      <c r="C277" s="11">
        <v>0</v>
      </c>
      <c r="D277" s="11">
        <v>0</v>
      </c>
      <c r="E277" s="11">
        <v>0</v>
      </c>
      <c r="F277" s="11">
        <v>0</v>
      </c>
      <c r="G277" s="11"/>
      <c r="H277" s="11">
        <v>0</v>
      </c>
      <c r="I277" s="11">
        <v>330601030</v>
      </c>
      <c r="J277" s="11">
        <f t="shared" si="80"/>
        <v>330601030</v>
      </c>
      <c r="K277" s="11">
        <v>273367094</v>
      </c>
      <c r="L277" s="10">
        <f t="shared" si="82"/>
        <v>57233936</v>
      </c>
      <c r="M277" s="11">
        <v>173967048</v>
      </c>
      <c r="N277" s="11">
        <v>99400046</v>
      </c>
      <c r="O277" s="11">
        <v>330601030</v>
      </c>
      <c r="P277" s="11">
        <f t="shared" si="79"/>
        <v>0</v>
      </c>
      <c r="Q277" s="11">
        <f t="shared" si="81"/>
        <v>173967048</v>
      </c>
      <c r="R277" s="11">
        <f t="shared" si="78"/>
        <v>99400046</v>
      </c>
      <c r="S277" s="111"/>
      <c r="T277" s="113"/>
      <c r="U277" s="113"/>
      <c r="V277" s="113"/>
      <c r="W277" s="113"/>
      <c r="X277" s="113"/>
      <c r="Y277" s="113"/>
      <c r="Z277" s="113"/>
      <c r="AA277" s="113"/>
    </row>
    <row r="278" spans="1:27" s="70" customFormat="1" x14ac:dyDescent="0.25">
      <c r="A278" s="99" t="s">
        <v>517</v>
      </c>
      <c r="B278" s="1" t="s">
        <v>518</v>
      </c>
      <c r="C278" s="11">
        <v>0</v>
      </c>
      <c r="D278" s="11">
        <v>0</v>
      </c>
      <c r="E278" s="11">
        <v>0</v>
      </c>
      <c r="F278" s="11">
        <v>0</v>
      </c>
      <c r="G278" s="11"/>
      <c r="H278" s="11">
        <v>0</v>
      </c>
      <c r="I278" s="11">
        <v>40398042</v>
      </c>
      <c r="J278" s="11">
        <f t="shared" si="80"/>
        <v>40398042</v>
      </c>
      <c r="K278" s="11">
        <v>0</v>
      </c>
      <c r="L278" s="10">
        <f t="shared" si="82"/>
        <v>40398042</v>
      </c>
      <c r="M278" s="11">
        <v>0</v>
      </c>
      <c r="N278" s="11">
        <v>0</v>
      </c>
      <c r="O278" s="11">
        <v>0</v>
      </c>
      <c r="P278" s="11">
        <f t="shared" si="79"/>
        <v>40398042</v>
      </c>
      <c r="Q278" s="11">
        <f t="shared" si="81"/>
        <v>0</v>
      </c>
      <c r="R278" s="11">
        <f t="shared" si="78"/>
        <v>0</v>
      </c>
      <c r="S278" s="111"/>
      <c r="T278" s="113"/>
      <c r="U278" s="113"/>
      <c r="V278" s="113"/>
      <c r="W278" s="113"/>
      <c r="X278" s="113"/>
      <c r="Y278" s="113"/>
      <c r="Z278" s="113"/>
      <c r="AA278" s="113"/>
    </row>
    <row r="279" spans="1:27" s="70" customFormat="1" x14ac:dyDescent="0.25">
      <c r="A279" s="99" t="s">
        <v>519</v>
      </c>
      <c r="B279" s="1" t="s">
        <v>520</v>
      </c>
      <c r="C279" s="11">
        <v>0</v>
      </c>
      <c r="D279" s="11">
        <v>0</v>
      </c>
      <c r="E279" s="11">
        <v>0</v>
      </c>
      <c r="F279" s="11">
        <v>0</v>
      </c>
      <c r="G279" s="11"/>
      <c r="H279" s="11">
        <v>0</v>
      </c>
      <c r="I279" s="11">
        <v>250000000</v>
      </c>
      <c r="J279" s="11">
        <f t="shared" si="80"/>
        <v>250000000</v>
      </c>
      <c r="K279" s="11">
        <v>0</v>
      </c>
      <c r="L279" s="10">
        <f t="shared" si="82"/>
        <v>250000000</v>
      </c>
      <c r="M279" s="11">
        <v>0</v>
      </c>
      <c r="N279" s="11">
        <v>0</v>
      </c>
      <c r="O279" s="11">
        <v>250000000</v>
      </c>
      <c r="P279" s="11">
        <f t="shared" si="79"/>
        <v>0</v>
      </c>
      <c r="Q279" s="11">
        <f t="shared" si="81"/>
        <v>0</v>
      </c>
      <c r="R279" s="11">
        <f t="shared" si="78"/>
        <v>0</v>
      </c>
      <c r="S279" s="111"/>
      <c r="T279" s="113"/>
      <c r="U279" s="113"/>
      <c r="V279" s="113"/>
      <c r="W279" s="113"/>
      <c r="X279" s="113"/>
      <c r="Y279" s="113"/>
      <c r="Z279" s="113"/>
      <c r="AA279" s="113"/>
    </row>
    <row r="280" spans="1:27" s="70" customFormat="1" x14ac:dyDescent="0.25">
      <c r="A280" s="99" t="s">
        <v>521</v>
      </c>
      <c r="B280" s="1" t="s">
        <v>522</v>
      </c>
      <c r="C280" s="11">
        <v>0</v>
      </c>
      <c r="D280" s="11">
        <v>0</v>
      </c>
      <c r="E280" s="11">
        <v>0</v>
      </c>
      <c r="F280" s="11">
        <v>0</v>
      </c>
      <c r="G280" s="11"/>
      <c r="H280" s="11">
        <v>0</v>
      </c>
      <c r="I280" s="11">
        <v>200000000</v>
      </c>
      <c r="J280" s="11">
        <f t="shared" si="80"/>
        <v>200000000</v>
      </c>
      <c r="K280" s="11">
        <v>200000000</v>
      </c>
      <c r="L280" s="10">
        <f t="shared" si="82"/>
        <v>0</v>
      </c>
      <c r="M280" s="11">
        <v>200000000</v>
      </c>
      <c r="N280" s="11">
        <v>0</v>
      </c>
      <c r="O280" s="11">
        <v>200000000</v>
      </c>
      <c r="P280" s="11">
        <f t="shared" si="79"/>
        <v>0</v>
      </c>
      <c r="Q280" s="11">
        <f t="shared" si="81"/>
        <v>200000000</v>
      </c>
      <c r="R280" s="11">
        <f t="shared" si="78"/>
        <v>0</v>
      </c>
      <c r="S280" s="111"/>
      <c r="T280" s="113"/>
      <c r="U280" s="113"/>
      <c r="V280" s="113"/>
      <c r="W280" s="113"/>
      <c r="X280" s="113"/>
      <c r="Y280" s="113"/>
      <c r="Z280" s="113"/>
      <c r="AA280" s="113"/>
    </row>
    <row r="281" spans="1:27" s="70" customFormat="1" x14ac:dyDescent="0.25">
      <c r="A281" s="99" t="s">
        <v>523</v>
      </c>
      <c r="B281" s="1" t="s">
        <v>524</v>
      </c>
      <c r="C281" s="11">
        <v>0</v>
      </c>
      <c r="D281" s="11">
        <v>0</v>
      </c>
      <c r="E281" s="11">
        <v>0</v>
      </c>
      <c r="F281" s="11">
        <v>0</v>
      </c>
      <c r="G281" s="11"/>
      <c r="H281" s="11">
        <v>0</v>
      </c>
      <c r="I281" s="11">
        <v>386492.54</v>
      </c>
      <c r="J281" s="11">
        <f t="shared" si="80"/>
        <v>386492.54</v>
      </c>
      <c r="K281" s="11">
        <v>0</v>
      </c>
      <c r="L281" s="10">
        <f t="shared" si="82"/>
        <v>386492.54</v>
      </c>
      <c r="M281" s="11">
        <v>0</v>
      </c>
      <c r="N281" s="11">
        <v>0</v>
      </c>
      <c r="O281" s="11">
        <v>0</v>
      </c>
      <c r="P281" s="11">
        <f t="shared" si="79"/>
        <v>386492.54</v>
      </c>
      <c r="Q281" s="11">
        <f t="shared" si="81"/>
        <v>0</v>
      </c>
      <c r="R281" s="11">
        <f t="shared" si="78"/>
        <v>0</v>
      </c>
      <c r="S281" s="111"/>
      <c r="T281" s="113"/>
      <c r="U281" s="113"/>
      <c r="V281" s="113"/>
      <c r="W281" s="113"/>
      <c r="X281" s="113"/>
      <c r="Y281" s="113"/>
      <c r="Z281" s="113"/>
      <c r="AA281" s="113"/>
    </row>
    <row r="282" spans="1:27" s="70" customFormat="1" x14ac:dyDescent="0.25">
      <c r="A282" s="99" t="s">
        <v>525</v>
      </c>
      <c r="B282" s="1" t="s">
        <v>526</v>
      </c>
      <c r="C282" s="11">
        <v>0</v>
      </c>
      <c r="D282" s="11">
        <v>0</v>
      </c>
      <c r="E282" s="11">
        <v>0</v>
      </c>
      <c r="F282" s="11">
        <v>0</v>
      </c>
      <c r="G282" s="11"/>
      <c r="H282" s="11">
        <v>0</v>
      </c>
      <c r="I282" s="11">
        <v>505696</v>
      </c>
      <c r="J282" s="11">
        <f t="shared" si="80"/>
        <v>505696</v>
      </c>
      <c r="K282" s="11">
        <v>504560</v>
      </c>
      <c r="L282" s="10">
        <f t="shared" si="82"/>
        <v>1136</v>
      </c>
      <c r="M282" s="11">
        <v>504560</v>
      </c>
      <c r="N282" s="11">
        <v>0</v>
      </c>
      <c r="O282" s="11">
        <v>505696</v>
      </c>
      <c r="P282" s="11">
        <f t="shared" si="79"/>
        <v>0</v>
      </c>
      <c r="Q282" s="11">
        <f t="shared" si="81"/>
        <v>504560</v>
      </c>
      <c r="R282" s="11">
        <f t="shared" si="78"/>
        <v>0</v>
      </c>
      <c r="S282" s="111"/>
      <c r="T282" s="113"/>
      <c r="U282" s="113"/>
      <c r="V282" s="113"/>
      <c r="W282" s="113"/>
      <c r="X282" s="113"/>
      <c r="Y282" s="113"/>
      <c r="Z282" s="113"/>
      <c r="AA282" s="113"/>
    </row>
    <row r="283" spans="1:27" s="70" customFormat="1" x14ac:dyDescent="0.25">
      <c r="A283" s="99" t="s">
        <v>527</v>
      </c>
      <c r="B283" s="1" t="s">
        <v>528</v>
      </c>
      <c r="C283" s="11">
        <v>0</v>
      </c>
      <c r="D283" s="11">
        <v>0</v>
      </c>
      <c r="E283" s="11">
        <v>0</v>
      </c>
      <c r="F283" s="11">
        <v>0</v>
      </c>
      <c r="G283" s="11"/>
      <c r="H283" s="11">
        <v>0</v>
      </c>
      <c r="I283" s="11">
        <v>30255248</v>
      </c>
      <c r="J283" s="11">
        <f t="shared" si="80"/>
        <v>30255248</v>
      </c>
      <c r="K283" s="11">
        <v>29000000</v>
      </c>
      <c r="L283" s="10">
        <f t="shared" si="82"/>
        <v>1255248</v>
      </c>
      <c r="M283" s="11">
        <v>0</v>
      </c>
      <c r="N283" s="11">
        <v>29000000</v>
      </c>
      <c r="O283" s="11">
        <v>30255248</v>
      </c>
      <c r="P283" s="11">
        <f t="shared" si="79"/>
        <v>0</v>
      </c>
      <c r="Q283" s="11">
        <f t="shared" si="81"/>
        <v>0</v>
      </c>
      <c r="R283" s="11">
        <f t="shared" si="78"/>
        <v>29000000</v>
      </c>
      <c r="S283" s="111"/>
      <c r="T283" s="113"/>
      <c r="U283" s="113"/>
      <c r="V283" s="113"/>
      <c r="W283" s="113"/>
      <c r="X283" s="113"/>
      <c r="Y283" s="113"/>
      <c r="Z283" s="113"/>
      <c r="AA283" s="113"/>
    </row>
    <row r="284" spans="1:27" s="70" customFormat="1" x14ac:dyDescent="0.25">
      <c r="A284" s="99" t="s">
        <v>529</v>
      </c>
      <c r="B284" s="1" t="s">
        <v>530</v>
      </c>
      <c r="C284" s="11">
        <v>0</v>
      </c>
      <c r="D284" s="11">
        <v>0</v>
      </c>
      <c r="E284" s="11">
        <v>0</v>
      </c>
      <c r="F284" s="11">
        <v>0</v>
      </c>
      <c r="G284" s="11"/>
      <c r="H284" s="11">
        <v>0</v>
      </c>
      <c r="I284" s="11">
        <v>134944280</v>
      </c>
      <c r="J284" s="11">
        <f t="shared" si="80"/>
        <v>134944280</v>
      </c>
      <c r="K284" s="11">
        <v>75203048</v>
      </c>
      <c r="L284" s="10">
        <f t="shared" si="82"/>
        <v>59741232</v>
      </c>
      <c r="M284" s="11">
        <v>71703048</v>
      </c>
      <c r="N284" s="11">
        <v>3500000</v>
      </c>
      <c r="O284" s="11">
        <v>134944280</v>
      </c>
      <c r="P284" s="11">
        <f t="shared" si="79"/>
        <v>0</v>
      </c>
      <c r="Q284" s="11">
        <f t="shared" si="81"/>
        <v>71703048</v>
      </c>
      <c r="R284" s="11">
        <f t="shared" si="78"/>
        <v>3500000</v>
      </c>
      <c r="S284" s="111"/>
      <c r="T284" s="113"/>
      <c r="U284" s="113"/>
      <c r="V284" s="113"/>
      <c r="W284" s="113"/>
      <c r="X284" s="113"/>
      <c r="Y284" s="113"/>
      <c r="Z284" s="113"/>
      <c r="AA284" s="113"/>
    </row>
    <row r="285" spans="1:27" s="70" customFormat="1" x14ac:dyDescent="0.25">
      <c r="A285" s="99" t="s">
        <v>531</v>
      </c>
      <c r="B285" s="1" t="s">
        <v>532</v>
      </c>
      <c r="C285" s="11">
        <v>0</v>
      </c>
      <c r="D285" s="11">
        <v>0</v>
      </c>
      <c r="E285" s="11">
        <v>0</v>
      </c>
      <c r="F285" s="11">
        <v>0</v>
      </c>
      <c r="G285" s="11"/>
      <c r="H285" s="11">
        <v>0</v>
      </c>
      <c r="I285" s="11">
        <v>1500000000</v>
      </c>
      <c r="J285" s="11">
        <f t="shared" si="80"/>
        <v>1500000000</v>
      </c>
      <c r="K285" s="11">
        <v>0</v>
      </c>
      <c r="L285" s="10">
        <f t="shared" si="82"/>
        <v>1500000000</v>
      </c>
      <c r="M285" s="11">
        <v>0</v>
      </c>
      <c r="N285" s="11">
        <v>0</v>
      </c>
      <c r="O285" s="11">
        <v>1500000000</v>
      </c>
      <c r="P285" s="11">
        <f t="shared" si="79"/>
        <v>0</v>
      </c>
      <c r="Q285" s="11">
        <f t="shared" si="81"/>
        <v>0</v>
      </c>
      <c r="R285" s="11">
        <f t="shared" si="78"/>
        <v>0</v>
      </c>
      <c r="S285" s="111"/>
      <c r="T285" s="113"/>
      <c r="U285" s="113"/>
      <c r="V285" s="113"/>
      <c r="W285" s="113"/>
      <c r="X285" s="113"/>
      <c r="Y285" s="113"/>
      <c r="Z285" s="113"/>
      <c r="AA285" s="113"/>
    </row>
    <row r="286" spans="1:27" s="70" customFormat="1" x14ac:dyDescent="0.25">
      <c r="A286" s="99" t="s">
        <v>533</v>
      </c>
      <c r="B286" s="1" t="s">
        <v>534</v>
      </c>
      <c r="C286" s="11">
        <v>0</v>
      </c>
      <c r="D286" s="11">
        <v>700000000</v>
      </c>
      <c r="E286" s="11">
        <v>0</v>
      </c>
      <c r="F286" s="11">
        <v>0</v>
      </c>
      <c r="G286" s="11"/>
      <c r="H286" s="11">
        <v>0</v>
      </c>
      <c r="I286" s="11">
        <v>0</v>
      </c>
      <c r="J286" s="11">
        <f t="shared" si="80"/>
        <v>700000000</v>
      </c>
      <c r="K286" s="11">
        <v>474739645</v>
      </c>
      <c r="L286" s="10">
        <f t="shared" si="82"/>
        <v>225260355</v>
      </c>
      <c r="M286" s="11">
        <f>474739645-31970000</f>
        <v>442769645</v>
      </c>
      <c r="N286" s="11">
        <v>74637144</v>
      </c>
      <c r="O286" s="11">
        <v>474278146</v>
      </c>
      <c r="P286" s="11">
        <f t="shared" si="79"/>
        <v>225721854</v>
      </c>
      <c r="Q286" s="11">
        <f t="shared" si="81"/>
        <v>442769645</v>
      </c>
      <c r="R286" s="11">
        <f t="shared" si="78"/>
        <v>31970000</v>
      </c>
      <c r="S286" s="111"/>
      <c r="T286" s="113"/>
      <c r="U286" s="113"/>
      <c r="V286" s="113"/>
      <c r="W286" s="113"/>
      <c r="X286" s="113"/>
      <c r="Y286" s="113"/>
      <c r="Z286" s="113"/>
      <c r="AA286" s="113"/>
    </row>
    <row r="287" spans="1:27" s="70" customFormat="1" x14ac:dyDescent="0.25">
      <c r="A287" s="99" t="s">
        <v>535</v>
      </c>
      <c r="B287" s="1" t="s">
        <v>536</v>
      </c>
      <c r="C287" s="11">
        <v>0</v>
      </c>
      <c r="D287" s="11">
        <v>0</v>
      </c>
      <c r="E287" s="11">
        <v>0</v>
      </c>
      <c r="F287" s="11">
        <v>0</v>
      </c>
      <c r="G287" s="11"/>
      <c r="H287" s="11">
        <v>0</v>
      </c>
      <c r="I287" s="11">
        <v>2486459321</v>
      </c>
      <c r="J287" s="11">
        <f t="shared" si="80"/>
        <v>2486459321</v>
      </c>
      <c r="K287" s="11">
        <v>0</v>
      </c>
      <c r="L287" s="10">
        <f t="shared" si="82"/>
        <v>2486459321</v>
      </c>
      <c r="M287" s="11">
        <v>0</v>
      </c>
      <c r="N287" s="11">
        <v>0</v>
      </c>
      <c r="O287" s="11">
        <v>36589799</v>
      </c>
      <c r="P287" s="11">
        <f t="shared" si="79"/>
        <v>2449869522</v>
      </c>
      <c r="Q287" s="11">
        <f t="shared" si="81"/>
        <v>0</v>
      </c>
      <c r="R287" s="11">
        <f t="shared" si="78"/>
        <v>0</v>
      </c>
      <c r="S287" s="111"/>
      <c r="T287" s="113"/>
      <c r="U287" s="113"/>
      <c r="V287" s="113"/>
      <c r="W287" s="113"/>
      <c r="X287" s="113"/>
      <c r="Y287" s="113"/>
      <c r="Z287" s="113"/>
      <c r="AA287" s="113"/>
    </row>
    <row r="288" spans="1:27" s="70" customFormat="1" x14ac:dyDescent="0.25">
      <c r="A288" s="99" t="s">
        <v>537</v>
      </c>
      <c r="B288" s="1" t="s">
        <v>538</v>
      </c>
      <c r="C288" s="11">
        <v>0</v>
      </c>
      <c r="D288" s="11">
        <v>120000000</v>
      </c>
      <c r="E288" s="11">
        <v>0</v>
      </c>
      <c r="F288" s="11">
        <v>0</v>
      </c>
      <c r="G288" s="11"/>
      <c r="H288" s="11">
        <v>0</v>
      </c>
      <c r="I288" s="11">
        <v>0</v>
      </c>
      <c r="J288" s="11">
        <f t="shared" si="80"/>
        <v>120000000</v>
      </c>
      <c r="K288" s="11">
        <v>116995023</v>
      </c>
      <c r="L288" s="10">
        <f t="shared" si="82"/>
        <v>3004977</v>
      </c>
      <c r="M288" s="11">
        <v>0</v>
      </c>
      <c r="N288" s="11">
        <v>116995023</v>
      </c>
      <c r="O288" s="11">
        <v>120000000</v>
      </c>
      <c r="P288" s="11">
        <f>+J288-O288</f>
        <v>0</v>
      </c>
      <c r="Q288" s="11">
        <f t="shared" si="81"/>
        <v>0</v>
      </c>
      <c r="R288" s="11">
        <f>+K288-M288</f>
        <v>116995023</v>
      </c>
      <c r="S288" s="111"/>
      <c r="T288" s="113"/>
      <c r="U288" s="113"/>
      <c r="V288" s="113"/>
      <c r="W288" s="113"/>
      <c r="X288" s="113"/>
      <c r="Y288" s="113"/>
      <c r="Z288" s="113"/>
      <c r="AA288" s="113"/>
    </row>
    <row r="289" spans="1:27" s="70" customFormat="1" x14ac:dyDescent="0.25">
      <c r="A289" s="99" t="s">
        <v>539</v>
      </c>
      <c r="B289" s="1" t="s">
        <v>540</v>
      </c>
      <c r="C289" s="11">
        <v>0</v>
      </c>
      <c r="D289" s="11">
        <v>0</v>
      </c>
      <c r="E289" s="11">
        <v>0</v>
      </c>
      <c r="F289" s="11">
        <v>0</v>
      </c>
      <c r="G289" s="11"/>
      <c r="H289" s="11">
        <v>0</v>
      </c>
      <c r="I289" s="11">
        <v>450000000</v>
      </c>
      <c r="J289" s="11">
        <f t="shared" si="80"/>
        <v>450000000</v>
      </c>
      <c r="K289" s="11">
        <v>0</v>
      </c>
      <c r="L289" s="10">
        <f t="shared" si="82"/>
        <v>450000000</v>
      </c>
      <c r="M289" s="11">
        <v>0</v>
      </c>
      <c r="N289" s="11">
        <v>0</v>
      </c>
      <c r="O289" s="11">
        <v>0</v>
      </c>
      <c r="P289" s="11">
        <f>+J289-O289</f>
        <v>450000000</v>
      </c>
      <c r="Q289" s="11">
        <f t="shared" si="81"/>
        <v>0</v>
      </c>
      <c r="R289" s="11">
        <f>+K289-M289</f>
        <v>0</v>
      </c>
      <c r="S289" s="111"/>
      <c r="T289" s="113"/>
      <c r="U289" s="113"/>
      <c r="V289" s="113"/>
      <c r="W289" s="113"/>
      <c r="X289" s="113"/>
      <c r="Y289" s="113"/>
      <c r="Z289" s="113"/>
      <c r="AA289" s="113"/>
    </row>
    <row r="290" spans="1:27" s="70" customFormat="1" x14ac:dyDescent="0.25">
      <c r="A290" s="99" t="s">
        <v>541</v>
      </c>
      <c r="B290" s="1" t="s">
        <v>542</v>
      </c>
      <c r="C290" s="11">
        <v>0</v>
      </c>
      <c r="D290" s="11">
        <v>0</v>
      </c>
      <c r="E290" s="11">
        <v>0</v>
      </c>
      <c r="F290" s="11">
        <v>0</v>
      </c>
      <c r="G290" s="11"/>
      <c r="H290" s="11">
        <v>0</v>
      </c>
      <c r="I290" s="11">
        <v>300000000</v>
      </c>
      <c r="J290" s="11">
        <f t="shared" si="80"/>
        <v>300000000</v>
      </c>
      <c r="K290" s="11">
        <v>293737134</v>
      </c>
      <c r="L290" s="10">
        <f t="shared" si="82"/>
        <v>6262866</v>
      </c>
      <c r="M290" s="11">
        <v>0</v>
      </c>
      <c r="N290" s="11">
        <v>293737134</v>
      </c>
      <c r="O290" s="11">
        <v>300000000</v>
      </c>
      <c r="P290" s="11">
        <f>+J290-O290</f>
        <v>0</v>
      </c>
      <c r="Q290" s="11">
        <f t="shared" si="81"/>
        <v>0</v>
      </c>
      <c r="R290" s="11">
        <f>+K290-M290</f>
        <v>293737134</v>
      </c>
      <c r="S290" s="111"/>
      <c r="T290" s="113"/>
      <c r="U290" s="113"/>
      <c r="V290" s="113"/>
      <c r="W290" s="113"/>
      <c r="X290" s="113"/>
      <c r="Y290" s="113"/>
      <c r="Z290" s="113"/>
      <c r="AA290" s="113"/>
    </row>
    <row r="291" spans="1:27" s="70" customFormat="1" x14ac:dyDescent="0.25">
      <c r="A291" s="99" t="s">
        <v>543</v>
      </c>
      <c r="B291" s="1" t="s">
        <v>544</v>
      </c>
      <c r="C291" s="11">
        <v>0</v>
      </c>
      <c r="D291" s="11">
        <v>0</v>
      </c>
      <c r="E291" s="11">
        <v>0</v>
      </c>
      <c r="F291" s="11">
        <v>0</v>
      </c>
      <c r="G291" s="11"/>
      <c r="H291" s="11">
        <v>0</v>
      </c>
      <c r="I291" s="11">
        <v>303000000</v>
      </c>
      <c r="J291" s="11">
        <f t="shared" si="80"/>
        <v>303000000</v>
      </c>
      <c r="K291" s="11">
        <v>303000000</v>
      </c>
      <c r="L291" s="10">
        <f t="shared" si="82"/>
        <v>0</v>
      </c>
      <c r="M291" s="11">
        <v>303000000</v>
      </c>
      <c r="N291" s="11">
        <v>0</v>
      </c>
      <c r="O291" s="11">
        <v>303000000</v>
      </c>
      <c r="P291" s="11">
        <f>+J291-O291</f>
        <v>0</v>
      </c>
      <c r="Q291" s="11">
        <f t="shared" si="81"/>
        <v>303000000</v>
      </c>
      <c r="R291" s="11">
        <f>+K291-M291</f>
        <v>0</v>
      </c>
      <c r="S291" s="111"/>
      <c r="T291" s="113"/>
      <c r="U291" s="113"/>
      <c r="V291" s="113"/>
      <c r="W291" s="113"/>
      <c r="X291" s="113"/>
      <c r="Y291" s="113"/>
      <c r="Z291" s="113"/>
      <c r="AA291" s="113"/>
    </row>
    <row r="292" spans="1:27" s="183" customFormat="1" x14ac:dyDescent="0.25">
      <c r="A292" s="4" t="s">
        <v>545</v>
      </c>
      <c r="B292" s="5" t="s">
        <v>546</v>
      </c>
      <c r="C292" s="10">
        <f>+C293+C308+C314+C315+C316</f>
        <v>271669531</v>
      </c>
      <c r="D292" s="10">
        <f>+D293+D308+D314+D315+D316</f>
        <v>53281419</v>
      </c>
      <c r="E292" s="10">
        <f t="shared" ref="E292:R292" si="83">+E293+E308+E314+E315+E316</f>
        <v>0</v>
      </c>
      <c r="F292" s="10">
        <f t="shared" si="83"/>
        <v>0</v>
      </c>
      <c r="G292" s="10">
        <f t="shared" si="83"/>
        <v>0</v>
      </c>
      <c r="H292" s="10">
        <f t="shared" si="83"/>
        <v>0</v>
      </c>
      <c r="I292" s="10">
        <f t="shared" si="83"/>
        <v>26196950649.220001</v>
      </c>
      <c r="J292" s="10">
        <f t="shared" si="83"/>
        <v>26521901599.220001</v>
      </c>
      <c r="K292" s="10">
        <f t="shared" si="83"/>
        <v>8481933405.0200005</v>
      </c>
      <c r="L292" s="10">
        <f t="shared" si="82"/>
        <v>18039968194.200001</v>
      </c>
      <c r="M292" s="10">
        <f t="shared" si="83"/>
        <v>5821703846.3999996</v>
      </c>
      <c r="N292" s="10">
        <f t="shared" si="83"/>
        <v>2848657905.6199999</v>
      </c>
      <c r="O292" s="10">
        <f t="shared" si="83"/>
        <v>9878328599.9400005</v>
      </c>
      <c r="P292" s="10">
        <f t="shared" si="83"/>
        <v>16643572999.280001</v>
      </c>
      <c r="Q292" s="10">
        <f t="shared" si="83"/>
        <v>5821703846.3999996</v>
      </c>
      <c r="R292" s="10">
        <f t="shared" si="83"/>
        <v>2660229558.6199999</v>
      </c>
      <c r="S292" s="111"/>
      <c r="T292" s="113"/>
      <c r="U292" s="113"/>
      <c r="V292" s="113"/>
      <c r="W292" s="113"/>
      <c r="X292" s="113"/>
      <c r="Y292" s="113"/>
      <c r="Z292" s="113"/>
      <c r="AA292" s="113"/>
    </row>
    <row r="293" spans="1:27" s="183" customFormat="1" x14ac:dyDescent="0.25">
      <c r="A293" s="4" t="s">
        <v>547</v>
      </c>
      <c r="B293" s="5" t="s">
        <v>548</v>
      </c>
      <c r="C293" s="10">
        <f>SUM(C294:C307)</f>
        <v>1000</v>
      </c>
      <c r="D293" s="10">
        <f>SUM(D294:D307)</f>
        <v>42809435</v>
      </c>
      <c r="E293" s="10">
        <f t="shared" ref="E293:R293" si="84">SUM(E294:E307)</f>
        <v>0</v>
      </c>
      <c r="F293" s="10">
        <f t="shared" si="84"/>
        <v>0</v>
      </c>
      <c r="G293" s="10">
        <f t="shared" si="84"/>
        <v>0</v>
      </c>
      <c r="H293" s="10">
        <f t="shared" si="84"/>
        <v>0</v>
      </c>
      <c r="I293" s="10">
        <f t="shared" si="84"/>
        <v>7881678615</v>
      </c>
      <c r="J293" s="10">
        <f t="shared" si="84"/>
        <v>7924489050</v>
      </c>
      <c r="K293" s="10">
        <f t="shared" si="84"/>
        <v>5501067649.9400005</v>
      </c>
      <c r="L293" s="10">
        <f t="shared" si="82"/>
        <v>2423421400.0599995</v>
      </c>
      <c r="M293" s="10">
        <f t="shared" si="84"/>
        <v>3512947225.3200002</v>
      </c>
      <c r="N293" s="10">
        <f t="shared" si="84"/>
        <v>2160776675.6199999</v>
      </c>
      <c r="O293" s="10">
        <f t="shared" si="84"/>
        <v>6533030559</v>
      </c>
      <c r="P293" s="10">
        <f t="shared" si="84"/>
        <v>1391458491</v>
      </c>
      <c r="Q293" s="10">
        <f t="shared" si="84"/>
        <v>3512947225.3200002</v>
      </c>
      <c r="R293" s="10">
        <f t="shared" si="84"/>
        <v>1988120424.6200001</v>
      </c>
      <c r="S293" s="111"/>
      <c r="T293" s="113"/>
      <c r="U293" s="113"/>
      <c r="V293" s="113"/>
      <c r="W293" s="113"/>
      <c r="X293" s="113"/>
      <c r="Y293" s="113"/>
      <c r="Z293" s="113"/>
      <c r="AA293" s="113"/>
    </row>
    <row r="294" spans="1:27" s="70" customFormat="1" x14ac:dyDescent="0.25">
      <c r="A294" s="99" t="s">
        <v>549</v>
      </c>
      <c r="B294" s="1" t="s">
        <v>550</v>
      </c>
      <c r="C294" s="11">
        <v>1000</v>
      </c>
      <c r="D294" s="11">
        <v>0</v>
      </c>
      <c r="E294" s="11">
        <v>0</v>
      </c>
      <c r="F294" s="11">
        <v>0</v>
      </c>
      <c r="G294" s="11"/>
      <c r="H294" s="11">
        <v>0</v>
      </c>
      <c r="I294" s="11">
        <v>1441053988</v>
      </c>
      <c r="J294" s="11">
        <f t="shared" si="80"/>
        <v>1441054988</v>
      </c>
      <c r="K294" s="11">
        <v>1043501520</v>
      </c>
      <c r="L294" s="10">
        <f t="shared" si="82"/>
        <v>397553468</v>
      </c>
      <c r="M294" s="11">
        <f>588592655+129278124</f>
        <v>717870779</v>
      </c>
      <c r="N294" s="11">
        <v>457041507</v>
      </c>
      <c r="O294" s="11">
        <v>1436962726</v>
      </c>
      <c r="P294" s="11">
        <f t="shared" ref="P294:P307" si="85">+J294-O294</f>
        <v>4092262</v>
      </c>
      <c r="Q294" s="11">
        <f t="shared" ref="Q294:Q307" si="86">+M294</f>
        <v>717870779</v>
      </c>
      <c r="R294" s="11">
        <f t="shared" ref="R294:R307" si="87">+K294-M294</f>
        <v>325630741</v>
      </c>
      <c r="S294" s="111"/>
      <c r="T294" s="113"/>
      <c r="U294" s="113"/>
      <c r="V294" s="113"/>
      <c r="W294" s="113"/>
      <c r="X294" s="113"/>
      <c r="Y294" s="113"/>
      <c r="Z294" s="113"/>
      <c r="AA294" s="113"/>
    </row>
    <row r="295" spans="1:27" s="70" customFormat="1" x14ac:dyDescent="0.25">
      <c r="A295" s="99" t="s">
        <v>551</v>
      </c>
      <c r="B295" s="1" t="s">
        <v>552</v>
      </c>
      <c r="C295" s="11">
        <v>0</v>
      </c>
      <c r="D295" s="11">
        <v>0</v>
      </c>
      <c r="E295" s="11">
        <v>0</v>
      </c>
      <c r="F295" s="11">
        <v>0</v>
      </c>
      <c r="G295" s="11"/>
      <c r="H295" s="11">
        <v>0</v>
      </c>
      <c r="I295" s="11">
        <v>616051270</v>
      </c>
      <c r="J295" s="11">
        <f t="shared" si="80"/>
        <v>616051270</v>
      </c>
      <c r="K295" s="11">
        <v>409537705</v>
      </c>
      <c r="L295" s="10">
        <f t="shared" si="82"/>
        <v>206513565</v>
      </c>
      <c r="M295" s="11">
        <f>324769452.65+1827752</f>
        <v>326597204.64999998</v>
      </c>
      <c r="N295" s="11">
        <v>89850329.350000024</v>
      </c>
      <c r="O295" s="11">
        <v>601114468</v>
      </c>
      <c r="P295" s="11">
        <f t="shared" si="85"/>
        <v>14936802</v>
      </c>
      <c r="Q295" s="11">
        <f t="shared" si="86"/>
        <v>326597204.64999998</v>
      </c>
      <c r="R295" s="11">
        <f t="shared" si="87"/>
        <v>82940500.350000024</v>
      </c>
      <c r="S295" s="111"/>
      <c r="T295" s="113"/>
      <c r="U295" s="113"/>
      <c r="V295" s="113"/>
      <c r="W295" s="113"/>
      <c r="X295" s="113"/>
      <c r="Y295" s="113"/>
      <c r="Z295" s="113"/>
      <c r="AA295" s="113"/>
    </row>
    <row r="296" spans="1:27" s="70" customFormat="1" x14ac:dyDescent="0.25">
      <c r="A296" s="99" t="s">
        <v>553</v>
      </c>
      <c r="B296" s="1" t="s">
        <v>554</v>
      </c>
      <c r="C296" s="11">
        <v>0</v>
      </c>
      <c r="D296" s="11">
        <v>0</v>
      </c>
      <c r="E296" s="11">
        <v>0</v>
      </c>
      <c r="F296" s="11">
        <v>0</v>
      </c>
      <c r="G296" s="11"/>
      <c r="H296" s="11">
        <v>0</v>
      </c>
      <c r="I296" s="11">
        <v>403980561</v>
      </c>
      <c r="J296" s="11">
        <f t="shared" si="80"/>
        <v>403980561</v>
      </c>
      <c r="K296" s="11">
        <v>63175151</v>
      </c>
      <c r="L296" s="10">
        <f t="shared" si="82"/>
        <v>340805410</v>
      </c>
      <c r="M296" s="11">
        <f>55877936-2787327</f>
        <v>53090609</v>
      </c>
      <c r="N296" s="11">
        <v>8262515</v>
      </c>
      <c r="O296" s="11">
        <v>76225931</v>
      </c>
      <c r="P296" s="11">
        <f t="shared" si="85"/>
        <v>327754630</v>
      </c>
      <c r="Q296" s="11">
        <f t="shared" si="86"/>
        <v>53090609</v>
      </c>
      <c r="R296" s="11">
        <f t="shared" si="87"/>
        <v>10084542</v>
      </c>
      <c r="S296" s="111"/>
      <c r="T296" s="113"/>
      <c r="U296" s="113"/>
      <c r="V296" s="113"/>
      <c r="W296" s="113"/>
      <c r="X296" s="113"/>
      <c r="Y296" s="113"/>
      <c r="Z296" s="113"/>
      <c r="AA296" s="113"/>
    </row>
    <row r="297" spans="1:27" s="70" customFormat="1" x14ac:dyDescent="0.25">
      <c r="A297" s="99" t="s">
        <v>555</v>
      </c>
      <c r="B297" s="1" t="s">
        <v>556</v>
      </c>
      <c r="C297" s="11">
        <v>0</v>
      </c>
      <c r="D297" s="11">
        <v>0</v>
      </c>
      <c r="E297" s="11">
        <v>0</v>
      </c>
      <c r="F297" s="11">
        <v>0</v>
      </c>
      <c r="G297" s="11"/>
      <c r="H297" s="11">
        <v>0</v>
      </c>
      <c r="I297" s="11">
        <v>394909308</v>
      </c>
      <c r="J297" s="11">
        <f t="shared" si="80"/>
        <v>394909308</v>
      </c>
      <c r="K297" s="11">
        <v>154289830</v>
      </c>
      <c r="L297" s="10">
        <f t="shared" si="82"/>
        <v>240619478</v>
      </c>
      <c r="M297" s="11">
        <f>90486742.67+1773674</f>
        <v>92260416.670000002</v>
      </c>
      <c r="N297" s="11">
        <v>64045101.329999998</v>
      </c>
      <c r="O297" s="11">
        <v>220160185</v>
      </c>
      <c r="P297" s="11">
        <f t="shared" si="85"/>
        <v>174749123</v>
      </c>
      <c r="Q297" s="11">
        <f t="shared" si="86"/>
        <v>92260416.670000002</v>
      </c>
      <c r="R297" s="11">
        <f t="shared" si="87"/>
        <v>62029413.329999998</v>
      </c>
      <c r="S297" s="111"/>
      <c r="T297" s="113"/>
      <c r="U297" s="113"/>
      <c r="V297" s="113"/>
      <c r="W297" s="113"/>
      <c r="X297" s="113"/>
      <c r="Y297" s="113"/>
      <c r="Z297" s="113"/>
      <c r="AA297" s="113"/>
    </row>
    <row r="298" spans="1:27" s="70" customFormat="1" x14ac:dyDescent="0.25">
      <c r="A298" s="99" t="s">
        <v>557</v>
      </c>
      <c r="B298" s="1" t="s">
        <v>558</v>
      </c>
      <c r="C298" s="11">
        <v>0</v>
      </c>
      <c r="D298" s="11">
        <v>0</v>
      </c>
      <c r="E298" s="11">
        <v>0</v>
      </c>
      <c r="F298" s="11">
        <v>0</v>
      </c>
      <c r="G298" s="11"/>
      <c r="H298" s="11">
        <v>0</v>
      </c>
      <c r="I298" s="11">
        <v>70417097</v>
      </c>
      <c r="J298" s="11">
        <f t="shared" si="80"/>
        <v>70417097</v>
      </c>
      <c r="K298" s="11">
        <v>69265373</v>
      </c>
      <c r="L298" s="10">
        <f t="shared" si="82"/>
        <v>1151724</v>
      </c>
      <c r="M298" s="11">
        <v>15465373</v>
      </c>
      <c r="N298" s="11">
        <v>53800000</v>
      </c>
      <c r="O298" s="11">
        <v>69593487</v>
      </c>
      <c r="P298" s="11">
        <f t="shared" si="85"/>
        <v>823610</v>
      </c>
      <c r="Q298" s="11">
        <f t="shared" si="86"/>
        <v>15465373</v>
      </c>
      <c r="R298" s="11">
        <f t="shared" si="87"/>
        <v>53800000</v>
      </c>
      <c r="S298" s="111"/>
      <c r="T298" s="113"/>
      <c r="U298" s="113"/>
      <c r="V298" s="113"/>
      <c r="W298" s="113"/>
      <c r="X298" s="113"/>
      <c r="Y298" s="113"/>
      <c r="Z298" s="113"/>
      <c r="AA298" s="113"/>
    </row>
    <row r="299" spans="1:27" s="70" customFormat="1" x14ac:dyDescent="0.25">
      <c r="A299" s="99" t="s">
        <v>559</v>
      </c>
      <c r="B299" s="1" t="s">
        <v>560</v>
      </c>
      <c r="C299" s="11">
        <v>0</v>
      </c>
      <c r="D299" s="11">
        <v>0</v>
      </c>
      <c r="E299" s="11">
        <v>0</v>
      </c>
      <c r="F299" s="11">
        <v>0</v>
      </c>
      <c r="G299" s="11"/>
      <c r="H299" s="11">
        <v>0</v>
      </c>
      <c r="I299" s="11">
        <v>1074453514</v>
      </c>
      <c r="J299" s="11">
        <f t="shared" si="80"/>
        <v>1074453514</v>
      </c>
      <c r="K299" s="11">
        <v>872228798.94000006</v>
      </c>
      <c r="L299" s="10">
        <f t="shared" si="82"/>
        <v>202224715.05999994</v>
      </c>
      <c r="M299" s="11">
        <f>260057425+3396980</f>
        <v>263454405</v>
      </c>
      <c r="N299" s="11">
        <v>612505325.94000006</v>
      </c>
      <c r="O299" s="11">
        <v>997472972</v>
      </c>
      <c r="P299" s="11">
        <f t="shared" si="85"/>
        <v>76980542</v>
      </c>
      <c r="Q299" s="11">
        <f t="shared" si="86"/>
        <v>263454405</v>
      </c>
      <c r="R299" s="11">
        <f t="shared" si="87"/>
        <v>608774393.94000006</v>
      </c>
      <c r="S299" s="111"/>
      <c r="T299" s="113"/>
      <c r="U299" s="113"/>
      <c r="V299" s="113"/>
      <c r="W299" s="113"/>
      <c r="X299" s="113"/>
      <c r="Y299" s="113"/>
      <c r="Z299" s="113"/>
      <c r="AA299" s="113"/>
    </row>
    <row r="300" spans="1:27" s="70" customFormat="1" x14ac:dyDescent="0.25">
      <c r="A300" s="99" t="s">
        <v>561</v>
      </c>
      <c r="B300" s="1" t="s">
        <v>562</v>
      </c>
      <c r="C300" s="11">
        <v>0</v>
      </c>
      <c r="D300" s="11">
        <v>0</v>
      </c>
      <c r="E300" s="11">
        <v>0</v>
      </c>
      <c r="F300" s="11">
        <v>0</v>
      </c>
      <c r="G300" s="11"/>
      <c r="H300" s="11">
        <v>0</v>
      </c>
      <c r="I300" s="11">
        <v>2414611540</v>
      </c>
      <c r="J300" s="11">
        <f t="shared" si="80"/>
        <v>2414611540</v>
      </c>
      <c r="K300" s="11">
        <v>2212738934</v>
      </c>
      <c r="L300" s="10">
        <f t="shared" si="82"/>
        <v>201872606</v>
      </c>
      <c r="M300" s="11">
        <f>1536883059-22867078</f>
        <v>1514015981</v>
      </c>
      <c r="N300" s="11">
        <v>695055940</v>
      </c>
      <c r="O300" s="11">
        <v>2404161197</v>
      </c>
      <c r="P300" s="11">
        <f t="shared" si="85"/>
        <v>10450343</v>
      </c>
      <c r="Q300" s="11">
        <f t="shared" si="86"/>
        <v>1514015981</v>
      </c>
      <c r="R300" s="11">
        <f t="shared" si="87"/>
        <v>698722953</v>
      </c>
      <c r="S300" s="111"/>
      <c r="T300" s="113"/>
      <c r="U300" s="113"/>
      <c r="V300" s="113"/>
      <c r="W300" s="113"/>
      <c r="X300" s="113"/>
      <c r="Y300" s="113"/>
      <c r="Z300" s="113"/>
      <c r="AA300" s="113"/>
    </row>
    <row r="301" spans="1:27" s="70" customFormat="1" x14ac:dyDescent="0.25">
      <c r="A301" s="99" t="s">
        <v>563</v>
      </c>
      <c r="B301" s="1" t="s">
        <v>564</v>
      </c>
      <c r="C301" s="11">
        <v>0</v>
      </c>
      <c r="D301" s="11">
        <v>0</v>
      </c>
      <c r="E301" s="11">
        <v>0</v>
      </c>
      <c r="F301" s="11">
        <v>0</v>
      </c>
      <c r="G301" s="11"/>
      <c r="H301" s="11">
        <v>0</v>
      </c>
      <c r="I301" s="11">
        <v>140243693</v>
      </c>
      <c r="J301" s="11">
        <f t="shared" si="80"/>
        <v>140243693</v>
      </c>
      <c r="K301" s="11">
        <v>139356258</v>
      </c>
      <c r="L301" s="10">
        <f t="shared" si="82"/>
        <v>887435</v>
      </c>
      <c r="M301" s="11">
        <f>133074590-4293326</f>
        <v>128781264</v>
      </c>
      <c r="N301" s="11">
        <v>7046701</v>
      </c>
      <c r="O301" s="11">
        <v>139624013</v>
      </c>
      <c r="P301" s="11">
        <f t="shared" si="85"/>
        <v>619680</v>
      </c>
      <c r="Q301" s="11">
        <f t="shared" si="86"/>
        <v>128781264</v>
      </c>
      <c r="R301" s="11">
        <f t="shared" si="87"/>
        <v>10574994</v>
      </c>
      <c r="S301" s="111"/>
      <c r="T301" s="113"/>
      <c r="U301" s="113"/>
      <c r="V301" s="113"/>
      <c r="W301" s="113"/>
      <c r="X301" s="113"/>
      <c r="Y301" s="113"/>
      <c r="Z301" s="113"/>
      <c r="AA301" s="113"/>
    </row>
    <row r="302" spans="1:27" s="70" customFormat="1" x14ac:dyDescent="0.25">
      <c r="A302" s="99" t="s">
        <v>565</v>
      </c>
      <c r="B302" s="1" t="s">
        <v>566</v>
      </c>
      <c r="C302" s="11">
        <v>0</v>
      </c>
      <c r="D302" s="11">
        <v>0</v>
      </c>
      <c r="E302" s="11">
        <v>0</v>
      </c>
      <c r="F302" s="11">
        <v>0</v>
      </c>
      <c r="G302" s="11"/>
      <c r="H302" s="11">
        <v>0</v>
      </c>
      <c r="I302" s="11">
        <v>1217496394</v>
      </c>
      <c r="J302" s="11">
        <f t="shared" si="80"/>
        <v>1217496394</v>
      </c>
      <c r="K302" s="11">
        <v>504251980</v>
      </c>
      <c r="L302" s="10">
        <f t="shared" si="82"/>
        <v>713244414</v>
      </c>
      <c r="M302" s="11">
        <f>344883994+23805099</f>
        <v>368689093</v>
      </c>
      <c r="N302" s="11">
        <v>165119801</v>
      </c>
      <c r="O302" s="11">
        <v>553393852</v>
      </c>
      <c r="P302" s="11">
        <f t="shared" si="85"/>
        <v>664102542</v>
      </c>
      <c r="Q302" s="11">
        <f t="shared" si="86"/>
        <v>368689093</v>
      </c>
      <c r="R302" s="11">
        <f t="shared" si="87"/>
        <v>135562887</v>
      </c>
      <c r="S302" s="111"/>
      <c r="T302" s="113"/>
      <c r="U302" s="113"/>
      <c r="V302" s="113"/>
      <c r="W302" s="113"/>
      <c r="X302" s="113"/>
      <c r="Y302" s="113"/>
      <c r="Z302" s="113"/>
      <c r="AA302" s="113"/>
    </row>
    <row r="303" spans="1:27" s="70" customFormat="1" x14ac:dyDescent="0.25">
      <c r="A303" s="99" t="s">
        <v>567</v>
      </c>
      <c r="B303" s="1" t="s">
        <v>568</v>
      </c>
      <c r="C303" s="11">
        <v>0</v>
      </c>
      <c r="D303" s="11">
        <v>690072</v>
      </c>
      <c r="E303" s="11">
        <v>0</v>
      </c>
      <c r="F303" s="11">
        <v>0</v>
      </c>
      <c r="G303" s="11"/>
      <c r="H303" s="11">
        <v>0</v>
      </c>
      <c r="I303" s="11">
        <v>0</v>
      </c>
      <c r="J303" s="11">
        <f t="shared" si="80"/>
        <v>690072</v>
      </c>
      <c r="K303" s="11">
        <v>0</v>
      </c>
      <c r="L303" s="10">
        <f t="shared" si="82"/>
        <v>690072</v>
      </c>
      <c r="M303" s="11">
        <v>0</v>
      </c>
      <c r="N303" s="11">
        <v>0</v>
      </c>
      <c r="O303" s="11">
        <v>0</v>
      </c>
      <c r="P303" s="11">
        <f t="shared" si="85"/>
        <v>690072</v>
      </c>
      <c r="Q303" s="11">
        <f t="shared" si="86"/>
        <v>0</v>
      </c>
      <c r="R303" s="11">
        <f t="shared" si="87"/>
        <v>0</v>
      </c>
      <c r="S303" s="111"/>
      <c r="T303" s="113"/>
      <c r="U303" s="113"/>
      <c r="V303" s="113"/>
      <c r="W303" s="113"/>
      <c r="X303" s="113"/>
      <c r="Y303" s="113"/>
      <c r="Z303" s="113"/>
      <c r="AA303" s="113"/>
    </row>
    <row r="304" spans="1:27" s="70" customFormat="1" x14ac:dyDescent="0.25">
      <c r="A304" s="99" t="s">
        <v>569</v>
      </c>
      <c r="B304" s="1" t="s">
        <v>118</v>
      </c>
      <c r="C304" s="11">
        <v>0</v>
      </c>
      <c r="D304" s="11">
        <v>2119363</v>
      </c>
      <c r="E304" s="11">
        <v>0</v>
      </c>
      <c r="F304" s="11">
        <v>0</v>
      </c>
      <c r="G304" s="11"/>
      <c r="H304" s="11">
        <v>0</v>
      </c>
      <c r="I304" s="11">
        <v>9162447</v>
      </c>
      <c r="J304" s="11">
        <f t="shared" si="80"/>
        <v>11281810</v>
      </c>
      <c r="K304" s="11">
        <v>1305023</v>
      </c>
      <c r="L304" s="10">
        <f t="shared" si="82"/>
        <v>9976787</v>
      </c>
      <c r="M304" s="11">
        <v>1305023</v>
      </c>
      <c r="N304" s="11">
        <v>1305023</v>
      </c>
      <c r="O304" s="11">
        <v>1305023</v>
      </c>
      <c r="P304" s="11">
        <f t="shared" si="85"/>
        <v>9976787</v>
      </c>
      <c r="Q304" s="11">
        <f t="shared" si="86"/>
        <v>1305023</v>
      </c>
      <c r="R304" s="11">
        <f t="shared" si="87"/>
        <v>0</v>
      </c>
      <c r="S304" s="111"/>
      <c r="T304" s="113"/>
      <c r="U304" s="113"/>
      <c r="V304" s="113"/>
      <c r="W304" s="113"/>
      <c r="X304" s="113"/>
      <c r="Y304" s="113"/>
      <c r="Z304" s="113"/>
      <c r="AA304" s="113"/>
    </row>
    <row r="305" spans="1:27" s="70" customFormat="1" x14ac:dyDescent="0.25">
      <c r="A305" s="99" t="s">
        <v>570</v>
      </c>
      <c r="B305" s="1" t="s">
        <v>571</v>
      </c>
      <c r="C305" s="11">
        <v>0</v>
      </c>
      <c r="D305" s="11">
        <v>20000000</v>
      </c>
      <c r="E305" s="11">
        <v>0</v>
      </c>
      <c r="F305" s="11">
        <v>0</v>
      </c>
      <c r="G305" s="11"/>
      <c r="H305" s="11">
        <v>0</v>
      </c>
      <c r="I305" s="11">
        <v>59423751</v>
      </c>
      <c r="J305" s="11">
        <f t="shared" si="80"/>
        <v>79423751</v>
      </c>
      <c r="K305" s="11">
        <v>18300858</v>
      </c>
      <c r="L305" s="10">
        <f t="shared" si="82"/>
        <v>61122893</v>
      </c>
      <c r="M305" s="11">
        <v>18300858</v>
      </c>
      <c r="N305" s="11">
        <v>0</v>
      </c>
      <c r="O305" s="11">
        <v>18365208</v>
      </c>
      <c r="P305" s="11">
        <f t="shared" si="85"/>
        <v>61058543</v>
      </c>
      <c r="Q305" s="11">
        <f t="shared" si="86"/>
        <v>18300858</v>
      </c>
      <c r="R305" s="11">
        <f t="shared" si="87"/>
        <v>0</v>
      </c>
      <c r="S305" s="111"/>
      <c r="T305" s="113"/>
      <c r="U305" s="113"/>
      <c r="V305" s="113"/>
      <c r="W305" s="113"/>
      <c r="X305" s="113"/>
      <c r="Y305" s="113"/>
      <c r="Z305" s="113"/>
      <c r="AA305" s="113"/>
    </row>
    <row r="306" spans="1:27" s="70" customFormat="1" x14ac:dyDescent="0.25">
      <c r="A306" s="99" t="s">
        <v>572</v>
      </c>
      <c r="B306" s="1" t="s">
        <v>573</v>
      </c>
      <c r="C306" s="11">
        <v>0</v>
      </c>
      <c r="D306" s="11">
        <v>10000000</v>
      </c>
      <c r="E306" s="11">
        <v>0</v>
      </c>
      <c r="F306" s="11">
        <v>0</v>
      </c>
      <c r="G306" s="11"/>
      <c r="H306" s="11">
        <v>0</v>
      </c>
      <c r="I306" s="11">
        <v>28661754</v>
      </c>
      <c r="J306" s="11">
        <f t="shared" si="80"/>
        <v>38661754</v>
      </c>
      <c r="K306" s="11">
        <v>5166503</v>
      </c>
      <c r="L306" s="10">
        <f t="shared" si="82"/>
        <v>33495251</v>
      </c>
      <c r="M306" s="11">
        <v>5166503</v>
      </c>
      <c r="N306" s="11">
        <v>0</v>
      </c>
      <c r="O306" s="11">
        <v>5166503</v>
      </c>
      <c r="P306" s="11">
        <f t="shared" si="85"/>
        <v>33495251</v>
      </c>
      <c r="Q306" s="11">
        <f t="shared" si="86"/>
        <v>5166503</v>
      </c>
      <c r="R306" s="11">
        <f t="shared" si="87"/>
        <v>0</v>
      </c>
      <c r="S306" s="111"/>
      <c r="T306" s="113"/>
      <c r="U306" s="113"/>
      <c r="V306" s="113"/>
      <c r="W306" s="113"/>
      <c r="X306" s="113"/>
      <c r="Y306" s="113"/>
      <c r="Z306" s="113"/>
      <c r="AA306" s="113"/>
    </row>
    <row r="307" spans="1:27" s="70" customFormat="1" x14ac:dyDescent="0.25">
      <c r="A307" s="99" t="s">
        <v>574</v>
      </c>
      <c r="B307" s="1" t="s">
        <v>575</v>
      </c>
      <c r="C307" s="11">
        <v>0</v>
      </c>
      <c r="D307" s="11">
        <v>10000000</v>
      </c>
      <c r="E307" s="11">
        <v>0</v>
      </c>
      <c r="F307" s="11">
        <v>0</v>
      </c>
      <c r="G307" s="11"/>
      <c r="H307" s="11">
        <v>0</v>
      </c>
      <c r="I307" s="11">
        <v>11213298</v>
      </c>
      <c r="J307" s="11">
        <f t="shared" si="80"/>
        <v>21213298</v>
      </c>
      <c r="K307" s="11">
        <v>7949716</v>
      </c>
      <c r="L307" s="10">
        <f t="shared" si="82"/>
        <v>13263582</v>
      </c>
      <c r="M307" s="11">
        <v>7949716</v>
      </c>
      <c r="N307" s="11">
        <v>6744432</v>
      </c>
      <c r="O307" s="11">
        <v>9484994</v>
      </c>
      <c r="P307" s="11">
        <f t="shared" si="85"/>
        <v>11728304</v>
      </c>
      <c r="Q307" s="11">
        <f t="shared" si="86"/>
        <v>7949716</v>
      </c>
      <c r="R307" s="11">
        <f t="shared" si="87"/>
        <v>0</v>
      </c>
      <c r="S307" s="111"/>
      <c r="T307" s="113"/>
      <c r="U307" s="113"/>
      <c r="V307" s="113"/>
      <c r="W307" s="113"/>
      <c r="X307" s="113"/>
      <c r="Y307" s="113"/>
      <c r="Z307" s="113"/>
      <c r="AA307" s="113"/>
    </row>
    <row r="308" spans="1:27" s="183" customFormat="1" x14ac:dyDescent="0.25">
      <c r="A308" s="4" t="s">
        <v>576</v>
      </c>
      <c r="B308" s="5" t="s">
        <v>577</v>
      </c>
      <c r="C308" s="10">
        <f>SUM(C309:C313)</f>
        <v>0</v>
      </c>
      <c r="D308" s="10">
        <f t="shared" ref="D308:R308" si="88">SUM(D309:D313)</f>
        <v>0</v>
      </c>
      <c r="E308" s="10">
        <f t="shared" si="88"/>
        <v>0</v>
      </c>
      <c r="F308" s="10">
        <f t="shared" si="88"/>
        <v>0</v>
      </c>
      <c r="G308" s="10">
        <f t="shared" si="88"/>
        <v>0</v>
      </c>
      <c r="H308" s="10">
        <f t="shared" si="88"/>
        <v>0</v>
      </c>
      <c r="I308" s="10">
        <f t="shared" si="88"/>
        <v>18082164228.48</v>
      </c>
      <c r="J308" s="10">
        <f t="shared" si="88"/>
        <v>18082164228.48</v>
      </c>
      <c r="K308" s="10">
        <f t="shared" si="88"/>
        <v>2473563943.0799999</v>
      </c>
      <c r="L308" s="10">
        <f t="shared" si="82"/>
        <v>15608600285.4</v>
      </c>
      <c r="M308" s="10">
        <f t="shared" si="88"/>
        <v>1853117876.0799999</v>
      </c>
      <c r="N308" s="10">
        <f t="shared" si="88"/>
        <v>636145532</v>
      </c>
      <c r="O308" s="10">
        <f t="shared" si="88"/>
        <v>2833197382.1999998</v>
      </c>
      <c r="P308" s="10">
        <f t="shared" si="88"/>
        <v>15248966846.280001</v>
      </c>
      <c r="Q308" s="10">
        <f t="shared" si="88"/>
        <v>1853117876.0799999</v>
      </c>
      <c r="R308" s="10">
        <f t="shared" si="88"/>
        <v>620446067</v>
      </c>
      <c r="S308" s="111"/>
      <c r="T308" s="113"/>
      <c r="U308" s="113"/>
      <c r="V308" s="113"/>
      <c r="W308" s="113"/>
      <c r="X308" s="113"/>
      <c r="Y308" s="113"/>
      <c r="Z308" s="113"/>
      <c r="AA308" s="113"/>
    </row>
    <row r="309" spans="1:27" s="70" customFormat="1" x14ac:dyDescent="0.25">
      <c r="A309" s="99" t="s">
        <v>578</v>
      </c>
      <c r="B309" s="1" t="s">
        <v>579</v>
      </c>
      <c r="C309" s="11">
        <v>0</v>
      </c>
      <c r="D309" s="11">
        <v>0</v>
      </c>
      <c r="E309" s="11">
        <v>0</v>
      </c>
      <c r="F309" s="11">
        <v>0</v>
      </c>
      <c r="G309" s="11"/>
      <c r="H309" s="11">
        <v>0</v>
      </c>
      <c r="I309" s="11">
        <v>3988810620</v>
      </c>
      <c r="J309" s="11">
        <f t="shared" si="80"/>
        <v>3988810620</v>
      </c>
      <c r="K309" s="11">
        <v>1062406936</v>
      </c>
      <c r="L309" s="10">
        <f t="shared" si="82"/>
        <v>2926403684</v>
      </c>
      <c r="M309" s="11">
        <f>680971009+3261942</f>
        <v>684232951</v>
      </c>
      <c r="N309" s="11">
        <v>381435927</v>
      </c>
      <c r="O309" s="11">
        <v>1375018142</v>
      </c>
      <c r="P309" s="11">
        <f t="shared" ref="P309:P317" si="89">+J309-O309</f>
        <v>2613792478</v>
      </c>
      <c r="Q309" s="11">
        <f t="shared" ref="Q309:Q317" si="90">+M309</f>
        <v>684232951</v>
      </c>
      <c r="R309" s="11">
        <f t="shared" ref="R309:R316" si="91">+K309-M309</f>
        <v>378173985</v>
      </c>
      <c r="S309" s="111"/>
      <c r="T309" s="113"/>
      <c r="U309" s="113"/>
      <c r="V309" s="113"/>
      <c r="W309" s="113"/>
      <c r="X309" s="113"/>
      <c r="Y309" s="113"/>
      <c r="Z309" s="113"/>
      <c r="AA309" s="113"/>
    </row>
    <row r="310" spans="1:27" s="70" customFormat="1" x14ac:dyDescent="0.25">
      <c r="A310" s="99" t="s">
        <v>580</v>
      </c>
      <c r="B310" s="1" t="s">
        <v>581</v>
      </c>
      <c r="C310" s="11">
        <v>0</v>
      </c>
      <c r="D310" s="11">
        <v>0</v>
      </c>
      <c r="E310" s="11">
        <v>0</v>
      </c>
      <c r="F310" s="11">
        <v>0</v>
      </c>
      <c r="G310" s="11"/>
      <c r="H310" s="11">
        <v>0</v>
      </c>
      <c r="I310" s="11">
        <v>11868450171</v>
      </c>
      <c r="J310" s="11">
        <f t="shared" si="80"/>
        <v>11868450171</v>
      </c>
      <c r="K310" s="11">
        <v>0</v>
      </c>
      <c r="L310" s="10">
        <f t="shared" si="82"/>
        <v>11868450171</v>
      </c>
      <c r="M310" s="11">
        <v>0</v>
      </c>
      <c r="N310" s="11">
        <v>0</v>
      </c>
      <c r="O310" s="11">
        <v>0</v>
      </c>
      <c r="P310" s="11">
        <f t="shared" si="89"/>
        <v>11868450171</v>
      </c>
      <c r="Q310" s="11">
        <f t="shared" si="90"/>
        <v>0</v>
      </c>
      <c r="R310" s="11">
        <f t="shared" si="91"/>
        <v>0</v>
      </c>
      <c r="S310" s="111"/>
      <c r="T310" s="113"/>
      <c r="U310" s="113"/>
      <c r="V310" s="113"/>
      <c r="W310" s="113"/>
      <c r="X310" s="113"/>
      <c r="Y310" s="113"/>
      <c r="Z310" s="113"/>
      <c r="AA310" s="113"/>
    </row>
    <row r="311" spans="1:27" s="70" customFormat="1" x14ac:dyDescent="0.25">
      <c r="A311" s="99" t="s">
        <v>582</v>
      </c>
      <c r="B311" s="1" t="s">
        <v>583</v>
      </c>
      <c r="C311" s="11">
        <v>0</v>
      </c>
      <c r="D311" s="11">
        <v>0</v>
      </c>
      <c r="E311" s="11">
        <v>0</v>
      </c>
      <c r="F311" s="11">
        <v>0</v>
      </c>
      <c r="G311" s="11"/>
      <c r="H311" s="11">
        <v>0</v>
      </c>
      <c r="I311" s="11">
        <v>996098817</v>
      </c>
      <c r="J311" s="11">
        <f t="shared" si="80"/>
        <v>996098817</v>
      </c>
      <c r="K311" s="11">
        <v>476716724</v>
      </c>
      <c r="L311" s="10">
        <f t="shared" si="82"/>
        <v>519382093</v>
      </c>
      <c r="M311" s="11">
        <f>390410565+2566602</f>
        <v>392977167</v>
      </c>
      <c r="N311" s="11">
        <v>96144667</v>
      </c>
      <c r="O311" s="11">
        <v>514031623</v>
      </c>
      <c r="P311" s="11">
        <f t="shared" si="89"/>
        <v>482067194</v>
      </c>
      <c r="Q311" s="11">
        <f t="shared" si="90"/>
        <v>392977167</v>
      </c>
      <c r="R311" s="11">
        <f t="shared" si="91"/>
        <v>83739557</v>
      </c>
      <c r="S311" s="111"/>
      <c r="T311" s="113"/>
      <c r="U311" s="113"/>
      <c r="V311" s="113"/>
      <c r="W311" s="113"/>
      <c r="X311" s="113"/>
      <c r="Y311" s="113"/>
      <c r="Z311" s="113"/>
      <c r="AA311" s="113"/>
    </row>
    <row r="312" spans="1:27" s="70" customFormat="1" x14ac:dyDescent="0.25">
      <c r="A312" s="99" t="s">
        <v>584</v>
      </c>
      <c r="B312" s="1" t="s">
        <v>585</v>
      </c>
      <c r="C312" s="11">
        <v>0</v>
      </c>
      <c r="D312" s="11">
        <v>0</v>
      </c>
      <c r="E312" s="11">
        <v>0</v>
      </c>
      <c r="F312" s="11">
        <v>0</v>
      </c>
      <c r="G312" s="11"/>
      <c r="H312" s="11">
        <v>0</v>
      </c>
      <c r="I312" s="11">
        <v>1206495562.48</v>
      </c>
      <c r="J312" s="11">
        <f t="shared" si="80"/>
        <v>1206495562.48</v>
      </c>
      <c r="K312" s="11">
        <v>931880283.08000004</v>
      </c>
      <c r="L312" s="10">
        <f t="shared" si="82"/>
        <v>274615279.39999998</v>
      </c>
      <c r="M312" s="11">
        <f>775711823.08-2364065</f>
        <v>773347758.08000004</v>
      </c>
      <c r="N312" s="11">
        <v>158564938</v>
      </c>
      <c r="O312" s="11">
        <v>941273256.20000005</v>
      </c>
      <c r="P312" s="11">
        <f t="shared" si="89"/>
        <v>265222306.27999997</v>
      </c>
      <c r="Q312" s="11">
        <f t="shared" si="90"/>
        <v>773347758.08000004</v>
      </c>
      <c r="R312" s="11">
        <f t="shared" si="91"/>
        <v>158532525</v>
      </c>
      <c r="S312" s="111"/>
      <c r="T312" s="113"/>
      <c r="U312" s="113"/>
      <c r="V312" s="113"/>
      <c r="W312" s="113"/>
      <c r="X312" s="113"/>
      <c r="Y312" s="113"/>
      <c r="Z312" s="113"/>
      <c r="AA312" s="113"/>
    </row>
    <row r="313" spans="1:27" s="70" customFormat="1" x14ac:dyDescent="0.25">
      <c r="A313" s="99" t="s">
        <v>586</v>
      </c>
      <c r="B313" s="1" t="s">
        <v>587</v>
      </c>
      <c r="C313" s="11">
        <v>0</v>
      </c>
      <c r="D313" s="11">
        <v>0</v>
      </c>
      <c r="E313" s="11">
        <v>0</v>
      </c>
      <c r="F313" s="11">
        <v>0</v>
      </c>
      <c r="G313" s="11"/>
      <c r="H313" s="11">
        <v>0</v>
      </c>
      <c r="I313" s="11">
        <v>22309058</v>
      </c>
      <c r="J313" s="11">
        <f t="shared" si="80"/>
        <v>22309058</v>
      </c>
      <c r="K313" s="11">
        <v>2560000</v>
      </c>
      <c r="L313" s="10">
        <f t="shared" si="82"/>
        <v>19749058</v>
      </c>
      <c r="M313" s="11">
        <v>2560000</v>
      </c>
      <c r="N313" s="11">
        <v>0</v>
      </c>
      <c r="O313" s="11">
        <v>2874361</v>
      </c>
      <c r="P313" s="11">
        <f t="shared" si="89"/>
        <v>19434697</v>
      </c>
      <c r="Q313" s="11">
        <f t="shared" si="90"/>
        <v>2560000</v>
      </c>
      <c r="R313" s="11">
        <f t="shared" si="91"/>
        <v>0</v>
      </c>
      <c r="S313" s="111"/>
      <c r="T313" s="113"/>
      <c r="U313" s="113"/>
      <c r="V313" s="113"/>
      <c r="W313" s="113"/>
      <c r="X313" s="113"/>
      <c r="Y313" s="113"/>
      <c r="Z313" s="113"/>
      <c r="AA313" s="113"/>
    </row>
    <row r="314" spans="1:27" s="70" customFormat="1" x14ac:dyDescent="0.25">
      <c r="A314" s="99" t="s">
        <v>588</v>
      </c>
      <c r="B314" s="1" t="s">
        <v>589</v>
      </c>
      <c r="C314" s="11">
        <v>36668531</v>
      </c>
      <c r="D314" s="11">
        <v>10471984</v>
      </c>
      <c r="E314" s="11">
        <v>0</v>
      </c>
      <c r="F314" s="11">
        <v>0</v>
      </c>
      <c r="G314" s="11"/>
      <c r="H314" s="11">
        <v>0</v>
      </c>
      <c r="I314" s="11">
        <v>0</v>
      </c>
      <c r="J314" s="11">
        <f t="shared" si="80"/>
        <v>47140515</v>
      </c>
      <c r="K314" s="11">
        <v>47140515</v>
      </c>
      <c r="L314" s="10">
        <f t="shared" si="82"/>
        <v>0</v>
      </c>
      <c r="M314" s="11">
        <v>47140515</v>
      </c>
      <c r="N314" s="11">
        <v>0</v>
      </c>
      <c r="O314" s="11">
        <v>47140515</v>
      </c>
      <c r="P314" s="11">
        <f t="shared" si="89"/>
        <v>0</v>
      </c>
      <c r="Q314" s="11">
        <f t="shared" si="90"/>
        <v>47140515</v>
      </c>
      <c r="R314" s="11">
        <f t="shared" si="91"/>
        <v>0</v>
      </c>
      <c r="S314" s="111"/>
      <c r="T314" s="113"/>
      <c r="U314" s="113"/>
      <c r="V314" s="113"/>
      <c r="W314" s="113"/>
      <c r="X314" s="113"/>
      <c r="Y314" s="113"/>
      <c r="Z314" s="113"/>
      <c r="AA314" s="113"/>
    </row>
    <row r="315" spans="1:27" s="70" customFormat="1" x14ac:dyDescent="0.25">
      <c r="A315" s="99" t="s">
        <v>590</v>
      </c>
      <c r="B315" s="1" t="s">
        <v>591</v>
      </c>
      <c r="C315" s="11">
        <v>200000000</v>
      </c>
      <c r="D315" s="11">
        <v>0</v>
      </c>
      <c r="E315" s="11">
        <v>0</v>
      </c>
      <c r="F315" s="11">
        <v>0</v>
      </c>
      <c r="G315" s="11"/>
      <c r="H315" s="11">
        <v>0</v>
      </c>
      <c r="I315" s="11">
        <v>233107805.74000001</v>
      </c>
      <c r="J315" s="11">
        <f t="shared" si="80"/>
        <v>433107805.74000001</v>
      </c>
      <c r="K315" s="11">
        <v>430849708</v>
      </c>
      <c r="L315" s="10">
        <f t="shared" si="82"/>
        <v>2258097.7400000095</v>
      </c>
      <c r="M315" s="11">
        <f>394818047-2947555</f>
        <v>391870492</v>
      </c>
      <c r="N315" s="11">
        <v>38982529</v>
      </c>
      <c r="O315" s="11">
        <v>433107805.74000001</v>
      </c>
      <c r="P315" s="11">
        <f t="shared" si="89"/>
        <v>0</v>
      </c>
      <c r="Q315" s="11">
        <f t="shared" si="90"/>
        <v>391870492</v>
      </c>
      <c r="R315" s="11">
        <f t="shared" si="91"/>
        <v>38979216</v>
      </c>
      <c r="S315" s="111"/>
      <c r="T315" s="113"/>
      <c r="U315" s="113"/>
      <c r="V315" s="113"/>
      <c r="W315" s="113"/>
      <c r="X315" s="113"/>
      <c r="Y315" s="113"/>
      <c r="Z315" s="113"/>
      <c r="AA315" s="113"/>
    </row>
    <row r="316" spans="1:27" s="70" customFormat="1" x14ac:dyDescent="0.25">
      <c r="A316" s="99" t="s">
        <v>592</v>
      </c>
      <c r="B316" s="1" t="s">
        <v>593</v>
      </c>
      <c r="C316" s="11">
        <v>35000000</v>
      </c>
      <c r="D316" s="11">
        <v>0</v>
      </c>
      <c r="E316" s="11">
        <v>0</v>
      </c>
      <c r="F316" s="11">
        <v>0</v>
      </c>
      <c r="G316" s="11"/>
      <c r="H316" s="11">
        <v>0</v>
      </c>
      <c r="I316" s="11">
        <v>0</v>
      </c>
      <c r="J316" s="11">
        <f t="shared" si="80"/>
        <v>35000000</v>
      </c>
      <c r="K316" s="11">
        <v>29311589</v>
      </c>
      <c r="L316" s="10">
        <f t="shared" si="82"/>
        <v>5688411</v>
      </c>
      <c r="M316" s="11">
        <f>16558420+69318</f>
        <v>16627738</v>
      </c>
      <c r="N316" s="11">
        <v>12753169</v>
      </c>
      <c r="O316" s="11">
        <v>31852338</v>
      </c>
      <c r="P316" s="11">
        <f t="shared" si="89"/>
        <v>3147662</v>
      </c>
      <c r="Q316" s="11">
        <f t="shared" si="90"/>
        <v>16627738</v>
      </c>
      <c r="R316" s="11">
        <f t="shared" si="91"/>
        <v>12683851</v>
      </c>
      <c r="S316" s="111"/>
      <c r="T316" s="113"/>
      <c r="U316" s="113"/>
      <c r="V316" s="113"/>
      <c r="W316" s="113"/>
      <c r="X316" s="113"/>
      <c r="Y316" s="113"/>
      <c r="Z316" s="113"/>
      <c r="AA316" s="113"/>
    </row>
    <row r="317" spans="1:27" s="183" customFormat="1" x14ac:dyDescent="0.25">
      <c r="A317" s="4" t="s">
        <v>594</v>
      </c>
      <c r="B317" s="5" t="s">
        <v>595</v>
      </c>
      <c r="C317" s="10">
        <v>14022000000</v>
      </c>
      <c r="D317" s="10">
        <v>0</v>
      </c>
      <c r="E317" s="10">
        <v>0</v>
      </c>
      <c r="F317" s="10">
        <v>14022000000</v>
      </c>
      <c r="G317" s="10"/>
      <c r="H317" s="10">
        <v>0</v>
      </c>
      <c r="I317" s="10">
        <v>0</v>
      </c>
      <c r="J317" s="10">
        <f t="shared" si="80"/>
        <v>0</v>
      </c>
      <c r="K317" s="10">
        <v>0</v>
      </c>
      <c r="L317" s="10">
        <f t="shared" si="82"/>
        <v>0</v>
      </c>
      <c r="M317" s="10">
        <v>0</v>
      </c>
      <c r="N317" s="10">
        <v>0</v>
      </c>
      <c r="O317" s="10">
        <v>0</v>
      </c>
      <c r="P317" s="10">
        <f t="shared" si="89"/>
        <v>0</v>
      </c>
      <c r="Q317" s="10">
        <f t="shared" si="90"/>
        <v>0</v>
      </c>
      <c r="R317" s="10">
        <f>+N317</f>
        <v>0</v>
      </c>
      <c r="S317" s="111"/>
      <c r="T317" s="113"/>
      <c r="U317" s="113"/>
      <c r="V317" s="113"/>
      <c r="W317" s="113"/>
      <c r="X317" s="113"/>
      <c r="Y317" s="113"/>
      <c r="Z317" s="113"/>
      <c r="AA317" s="113"/>
    </row>
    <row r="318" spans="1:27" s="183" customFormat="1" x14ac:dyDescent="0.25">
      <c r="A318" s="4" t="s">
        <v>596</v>
      </c>
      <c r="B318" s="5" t="s">
        <v>597</v>
      </c>
      <c r="C318" s="10">
        <f>+C319+C367</f>
        <v>0</v>
      </c>
      <c r="D318" s="10">
        <f t="shared" ref="D318:R318" si="92">+D319+D367</f>
        <v>0</v>
      </c>
      <c r="E318" s="10">
        <f t="shared" si="92"/>
        <v>0</v>
      </c>
      <c r="F318" s="10">
        <f t="shared" si="92"/>
        <v>0</v>
      </c>
      <c r="G318" s="10">
        <f t="shared" si="92"/>
        <v>0</v>
      </c>
      <c r="H318" s="10">
        <f t="shared" si="92"/>
        <v>0</v>
      </c>
      <c r="I318" s="10">
        <f t="shared" si="92"/>
        <v>10633727791.450001</v>
      </c>
      <c r="J318" s="10">
        <f t="shared" si="92"/>
        <v>10633727791.450001</v>
      </c>
      <c r="K318" s="10">
        <f t="shared" si="92"/>
        <v>8222884724.9699993</v>
      </c>
      <c r="L318" s="10">
        <f t="shared" si="82"/>
        <v>2410843066.4800014</v>
      </c>
      <c r="M318" s="10">
        <f t="shared" si="92"/>
        <v>7379842962.9699993</v>
      </c>
      <c r="N318" s="10">
        <f t="shared" si="92"/>
        <v>971249579</v>
      </c>
      <c r="O318" s="10">
        <f t="shared" si="92"/>
        <v>8253322755.9699993</v>
      </c>
      <c r="P318" s="10">
        <f t="shared" si="92"/>
        <v>2380405035.48</v>
      </c>
      <c r="Q318" s="10">
        <f t="shared" si="92"/>
        <v>7379842962.9699993</v>
      </c>
      <c r="R318" s="10">
        <f t="shared" si="92"/>
        <v>843041762</v>
      </c>
      <c r="S318" s="111"/>
      <c r="T318" s="113"/>
      <c r="U318" s="113"/>
      <c r="V318" s="113"/>
      <c r="W318" s="113"/>
      <c r="X318" s="113"/>
      <c r="Y318" s="113"/>
      <c r="Z318" s="113"/>
      <c r="AA318" s="113"/>
    </row>
    <row r="319" spans="1:27" s="183" customFormat="1" x14ac:dyDescent="0.25">
      <c r="A319" s="4" t="s">
        <v>598</v>
      </c>
      <c r="B319" s="5" t="s">
        <v>599</v>
      </c>
      <c r="C319" s="10">
        <f>+C320+C331+C345</f>
        <v>0</v>
      </c>
      <c r="D319" s="10">
        <f t="shared" ref="D319:R319" si="93">+D320+D331+D345</f>
        <v>0</v>
      </c>
      <c r="E319" s="10">
        <f t="shared" si="93"/>
        <v>0</v>
      </c>
      <c r="F319" s="10">
        <f t="shared" si="93"/>
        <v>0</v>
      </c>
      <c r="G319" s="10">
        <f t="shared" si="93"/>
        <v>0</v>
      </c>
      <c r="H319" s="10">
        <f t="shared" si="93"/>
        <v>0</v>
      </c>
      <c r="I319" s="10">
        <f t="shared" si="93"/>
        <v>7511878920.4499998</v>
      </c>
      <c r="J319" s="10">
        <f t="shared" si="93"/>
        <v>7511878920.4499998</v>
      </c>
      <c r="K319" s="10">
        <f t="shared" si="93"/>
        <v>7130660182.9699993</v>
      </c>
      <c r="L319" s="10">
        <f t="shared" si="82"/>
        <v>381218737.4800005</v>
      </c>
      <c r="M319" s="10">
        <f t="shared" si="93"/>
        <v>6862918167.9699993</v>
      </c>
      <c r="N319" s="10">
        <f t="shared" si="93"/>
        <v>424791832</v>
      </c>
      <c r="O319" s="10">
        <f t="shared" si="93"/>
        <v>7161098213.9699993</v>
      </c>
      <c r="P319" s="10">
        <f t="shared" si="93"/>
        <v>350780706.48000002</v>
      </c>
      <c r="Q319" s="10">
        <f t="shared" si="93"/>
        <v>6862918167.9699993</v>
      </c>
      <c r="R319" s="10">
        <f t="shared" si="93"/>
        <v>267742015</v>
      </c>
      <c r="S319" s="111"/>
      <c r="T319" s="113"/>
      <c r="U319" s="113"/>
      <c r="V319" s="113"/>
      <c r="W319" s="113"/>
      <c r="X319" s="113"/>
      <c r="Y319" s="113"/>
      <c r="Z319" s="113"/>
      <c r="AA319" s="113"/>
    </row>
    <row r="320" spans="1:27" s="183" customFormat="1" x14ac:dyDescent="0.25">
      <c r="A320" s="4" t="s">
        <v>600</v>
      </c>
      <c r="B320" s="5" t="s">
        <v>601</v>
      </c>
      <c r="C320" s="10">
        <f>SUM(C321:C330)</f>
        <v>0</v>
      </c>
      <c r="D320" s="10">
        <f t="shared" ref="D320:R320" si="94">SUM(D321:D330)</f>
        <v>0</v>
      </c>
      <c r="E320" s="10">
        <f t="shared" si="94"/>
        <v>0</v>
      </c>
      <c r="F320" s="10">
        <f t="shared" si="94"/>
        <v>0</v>
      </c>
      <c r="G320" s="10">
        <f t="shared" si="94"/>
        <v>0</v>
      </c>
      <c r="H320" s="10">
        <f t="shared" si="94"/>
        <v>0</v>
      </c>
      <c r="I320" s="10">
        <f t="shared" si="94"/>
        <v>3335512156.4499998</v>
      </c>
      <c r="J320" s="10">
        <f t="shared" si="94"/>
        <v>3335512156.4499998</v>
      </c>
      <c r="K320" s="10">
        <f t="shared" si="94"/>
        <v>3318809386.4499998</v>
      </c>
      <c r="L320" s="10">
        <f t="shared" si="82"/>
        <v>16702770</v>
      </c>
      <c r="M320" s="10">
        <f t="shared" si="94"/>
        <v>3318809386.4499998</v>
      </c>
      <c r="N320" s="10">
        <f t="shared" si="94"/>
        <v>11777705</v>
      </c>
      <c r="O320" s="10">
        <f t="shared" si="94"/>
        <v>3318809386.4499998</v>
      </c>
      <c r="P320" s="10">
        <f t="shared" si="94"/>
        <v>16702770</v>
      </c>
      <c r="Q320" s="10">
        <f t="shared" si="94"/>
        <v>3318809386.4499998</v>
      </c>
      <c r="R320" s="10">
        <f t="shared" si="94"/>
        <v>0</v>
      </c>
      <c r="S320" s="111"/>
      <c r="T320" s="113"/>
      <c r="U320" s="113"/>
      <c r="V320" s="113"/>
      <c r="W320" s="113"/>
      <c r="X320" s="113"/>
      <c r="Y320" s="113"/>
      <c r="Z320" s="113"/>
      <c r="AA320" s="113"/>
    </row>
    <row r="321" spans="1:27" s="70" customFormat="1" x14ac:dyDescent="0.25">
      <c r="A321" s="99" t="s">
        <v>602</v>
      </c>
      <c r="B321" s="1" t="s">
        <v>603</v>
      </c>
      <c r="C321" s="11">
        <v>0</v>
      </c>
      <c r="D321" s="11">
        <v>0</v>
      </c>
      <c r="E321" s="11">
        <v>0</v>
      </c>
      <c r="F321" s="11">
        <v>0</v>
      </c>
      <c r="G321" s="11"/>
      <c r="H321" s="11">
        <v>0</v>
      </c>
      <c r="I321" s="11">
        <v>2677849024</v>
      </c>
      <c r="J321" s="11">
        <f t="shared" si="80"/>
        <v>2677849024</v>
      </c>
      <c r="K321" s="11">
        <v>2676411277</v>
      </c>
      <c r="L321" s="10">
        <f t="shared" si="82"/>
        <v>1437747</v>
      </c>
      <c r="M321" s="11">
        <v>2676411277</v>
      </c>
      <c r="N321" s="11">
        <v>484991</v>
      </c>
      <c r="O321" s="11">
        <v>2676411277</v>
      </c>
      <c r="P321" s="11">
        <f t="shared" ref="P321:P330" si="95">+J321-O321</f>
        <v>1437747</v>
      </c>
      <c r="Q321" s="11">
        <f>+M321</f>
        <v>2676411277</v>
      </c>
      <c r="R321" s="11">
        <f t="shared" ref="R321:R330" si="96">+K321-M321</f>
        <v>0</v>
      </c>
      <c r="S321" s="111"/>
      <c r="T321" s="113"/>
      <c r="U321" s="113"/>
      <c r="V321" s="113"/>
      <c r="W321" s="113"/>
      <c r="X321" s="113"/>
      <c r="Y321" s="113"/>
      <c r="Z321" s="113"/>
      <c r="AA321" s="113"/>
    </row>
    <row r="322" spans="1:27" s="70" customFormat="1" x14ac:dyDescent="0.25">
      <c r="A322" s="99" t="s">
        <v>604</v>
      </c>
      <c r="B322" s="1" t="s">
        <v>605</v>
      </c>
      <c r="C322" s="11">
        <v>0</v>
      </c>
      <c r="D322" s="11">
        <v>0</v>
      </c>
      <c r="E322" s="11">
        <v>0</v>
      </c>
      <c r="F322" s="11">
        <v>0</v>
      </c>
      <c r="G322" s="11"/>
      <c r="H322" s="11">
        <v>0</v>
      </c>
      <c r="I322" s="11">
        <v>33347918</v>
      </c>
      <c r="J322" s="11">
        <f t="shared" ref="J322:J372" si="97">+C322+D322-E322-F322+G322-H322+I322</f>
        <v>33347918</v>
      </c>
      <c r="K322" s="11">
        <v>33347918</v>
      </c>
      <c r="L322" s="10">
        <f t="shared" si="82"/>
        <v>0</v>
      </c>
      <c r="M322" s="11">
        <v>33347918</v>
      </c>
      <c r="N322" s="11">
        <v>0</v>
      </c>
      <c r="O322" s="11">
        <v>33347918</v>
      </c>
      <c r="P322" s="11">
        <f t="shared" si="95"/>
        <v>0</v>
      </c>
      <c r="Q322" s="11">
        <f t="shared" ref="Q322:Q372" si="98">+M322</f>
        <v>33347918</v>
      </c>
      <c r="R322" s="11">
        <f t="shared" si="96"/>
        <v>0</v>
      </c>
      <c r="S322" s="111"/>
      <c r="T322" s="113"/>
      <c r="U322" s="113"/>
      <c r="V322" s="113"/>
      <c r="W322" s="113"/>
      <c r="X322" s="113"/>
      <c r="Y322" s="113"/>
      <c r="Z322" s="113"/>
      <c r="AA322" s="113"/>
    </row>
    <row r="323" spans="1:27" s="70" customFormat="1" x14ac:dyDescent="0.25">
      <c r="A323" s="99" t="s">
        <v>606</v>
      </c>
      <c r="B323" s="1" t="s">
        <v>607</v>
      </c>
      <c r="C323" s="11">
        <v>0</v>
      </c>
      <c r="D323" s="11">
        <v>0</v>
      </c>
      <c r="E323" s="11">
        <v>0</v>
      </c>
      <c r="F323" s="11">
        <v>0</v>
      </c>
      <c r="G323" s="11"/>
      <c r="H323" s="11">
        <v>0</v>
      </c>
      <c r="I323" s="11">
        <v>142970118</v>
      </c>
      <c r="J323" s="11">
        <f t="shared" si="97"/>
        <v>142970118</v>
      </c>
      <c r="K323" s="11">
        <v>137169867</v>
      </c>
      <c r="L323" s="10">
        <f t="shared" si="82"/>
        <v>5800251</v>
      </c>
      <c r="M323" s="11">
        <v>137169867</v>
      </c>
      <c r="N323" s="11">
        <v>2055350</v>
      </c>
      <c r="O323" s="11">
        <v>137169867</v>
      </c>
      <c r="P323" s="11">
        <f t="shared" si="95"/>
        <v>5800251</v>
      </c>
      <c r="Q323" s="11">
        <f t="shared" si="98"/>
        <v>137169867</v>
      </c>
      <c r="R323" s="11">
        <f t="shared" si="96"/>
        <v>0</v>
      </c>
      <c r="S323" s="111"/>
      <c r="T323" s="113"/>
      <c r="U323" s="113"/>
      <c r="V323" s="113"/>
      <c r="W323" s="113"/>
      <c r="X323" s="113"/>
      <c r="Y323" s="113"/>
      <c r="Z323" s="113"/>
      <c r="AA323" s="113"/>
    </row>
    <row r="324" spans="1:27" s="70" customFormat="1" x14ac:dyDescent="0.25">
      <c r="A324" s="99" t="s">
        <v>608</v>
      </c>
      <c r="B324" s="1" t="s">
        <v>609</v>
      </c>
      <c r="C324" s="11">
        <v>0</v>
      </c>
      <c r="D324" s="11">
        <v>0</v>
      </c>
      <c r="E324" s="11">
        <v>0</v>
      </c>
      <c r="F324" s="11">
        <v>0</v>
      </c>
      <c r="G324" s="11"/>
      <c r="H324" s="11">
        <v>0</v>
      </c>
      <c r="I324" s="11">
        <v>40645216</v>
      </c>
      <c r="J324" s="11">
        <f t="shared" si="97"/>
        <v>40645216</v>
      </c>
      <c r="K324" s="11">
        <v>40645216</v>
      </c>
      <c r="L324" s="10">
        <f t="shared" si="82"/>
        <v>0</v>
      </c>
      <c r="M324" s="11">
        <v>40645216</v>
      </c>
      <c r="N324" s="11">
        <v>8756996</v>
      </c>
      <c r="O324" s="11">
        <v>40645216</v>
      </c>
      <c r="P324" s="11">
        <f t="shared" si="95"/>
        <v>0</v>
      </c>
      <c r="Q324" s="11">
        <f t="shared" si="98"/>
        <v>40645216</v>
      </c>
      <c r="R324" s="11">
        <f t="shared" si="96"/>
        <v>0</v>
      </c>
      <c r="S324" s="111"/>
      <c r="T324" s="113"/>
      <c r="U324" s="113"/>
      <c r="V324" s="113"/>
      <c r="W324" s="113"/>
      <c r="X324" s="113"/>
      <c r="Y324" s="113"/>
      <c r="Z324" s="113"/>
      <c r="AA324" s="113"/>
    </row>
    <row r="325" spans="1:27" s="70" customFormat="1" x14ac:dyDescent="0.25">
      <c r="A325" s="99" t="s">
        <v>610</v>
      </c>
      <c r="B325" s="1" t="s">
        <v>611</v>
      </c>
      <c r="C325" s="11">
        <v>0</v>
      </c>
      <c r="D325" s="11">
        <v>0</v>
      </c>
      <c r="E325" s="11">
        <v>0</v>
      </c>
      <c r="F325" s="11">
        <v>0</v>
      </c>
      <c r="G325" s="11"/>
      <c r="H325" s="11">
        <v>0</v>
      </c>
      <c r="I325" s="11">
        <v>424591293.44999999</v>
      </c>
      <c r="J325" s="11">
        <f t="shared" si="97"/>
        <v>424591293.44999999</v>
      </c>
      <c r="K325" s="11">
        <v>424591293.45000005</v>
      </c>
      <c r="L325" s="10">
        <f t="shared" si="82"/>
        <v>0</v>
      </c>
      <c r="M325" s="11">
        <v>424591293.45000005</v>
      </c>
      <c r="N325" s="11">
        <v>0</v>
      </c>
      <c r="O325" s="11">
        <v>424591293.45000005</v>
      </c>
      <c r="P325" s="11">
        <f t="shared" si="95"/>
        <v>0</v>
      </c>
      <c r="Q325" s="11">
        <f t="shared" si="98"/>
        <v>424591293.45000005</v>
      </c>
      <c r="R325" s="11">
        <f t="shared" si="96"/>
        <v>0</v>
      </c>
      <c r="S325" s="111"/>
      <c r="T325" s="113"/>
      <c r="U325" s="113"/>
      <c r="V325" s="113"/>
      <c r="W325" s="113"/>
      <c r="X325" s="113"/>
      <c r="Y325" s="113"/>
      <c r="Z325" s="113"/>
      <c r="AA325" s="113"/>
    </row>
    <row r="326" spans="1:27" s="70" customFormat="1" x14ac:dyDescent="0.25">
      <c r="A326" s="99" t="s">
        <v>612</v>
      </c>
      <c r="B326" s="1" t="s">
        <v>613</v>
      </c>
      <c r="C326" s="11">
        <v>0</v>
      </c>
      <c r="D326" s="11">
        <v>0</v>
      </c>
      <c r="E326" s="11">
        <v>0</v>
      </c>
      <c r="F326" s="11">
        <v>0</v>
      </c>
      <c r="G326" s="11"/>
      <c r="H326" s="11">
        <v>0</v>
      </c>
      <c r="I326" s="11">
        <v>10843680</v>
      </c>
      <c r="J326" s="11">
        <f t="shared" si="97"/>
        <v>10843680</v>
      </c>
      <c r="K326" s="11">
        <v>1378908</v>
      </c>
      <c r="L326" s="10">
        <f t="shared" ref="L326:L372" si="99">+J326-K326</f>
        <v>9464772</v>
      </c>
      <c r="M326" s="11">
        <v>1378908</v>
      </c>
      <c r="N326" s="11">
        <v>0</v>
      </c>
      <c r="O326" s="11">
        <v>1378908</v>
      </c>
      <c r="P326" s="11">
        <f t="shared" si="95"/>
        <v>9464772</v>
      </c>
      <c r="Q326" s="11">
        <f t="shared" si="98"/>
        <v>1378908</v>
      </c>
      <c r="R326" s="11">
        <f t="shared" si="96"/>
        <v>0</v>
      </c>
      <c r="S326" s="111"/>
      <c r="T326" s="113"/>
      <c r="U326" s="113"/>
      <c r="V326" s="113"/>
      <c r="W326" s="113"/>
      <c r="X326" s="113"/>
      <c r="Y326" s="113"/>
      <c r="Z326" s="113"/>
      <c r="AA326" s="113"/>
    </row>
    <row r="327" spans="1:27" s="70" customFormat="1" x14ac:dyDescent="0.25">
      <c r="A327" s="99" t="s">
        <v>614</v>
      </c>
      <c r="B327" s="1" t="s">
        <v>615</v>
      </c>
      <c r="C327" s="11">
        <v>0</v>
      </c>
      <c r="D327" s="11">
        <v>0</v>
      </c>
      <c r="E327" s="11">
        <v>0</v>
      </c>
      <c r="F327" s="11">
        <v>0</v>
      </c>
      <c r="G327" s="11"/>
      <c r="H327" s="11">
        <v>0</v>
      </c>
      <c r="I327" s="11">
        <v>47616</v>
      </c>
      <c r="J327" s="11">
        <f t="shared" si="97"/>
        <v>47616</v>
      </c>
      <c r="K327" s="11">
        <v>47616</v>
      </c>
      <c r="L327" s="10">
        <f t="shared" si="99"/>
        <v>0</v>
      </c>
      <c r="M327" s="11">
        <v>47616</v>
      </c>
      <c r="N327" s="11">
        <v>0</v>
      </c>
      <c r="O327" s="11">
        <v>47616</v>
      </c>
      <c r="P327" s="11">
        <f t="shared" si="95"/>
        <v>0</v>
      </c>
      <c r="Q327" s="11">
        <f t="shared" si="98"/>
        <v>47616</v>
      </c>
      <c r="R327" s="11">
        <f t="shared" si="96"/>
        <v>0</v>
      </c>
      <c r="S327" s="111"/>
      <c r="T327" s="113"/>
      <c r="U327" s="113"/>
      <c r="V327" s="113"/>
      <c r="W327" s="113"/>
      <c r="X327" s="113"/>
      <c r="Y327" s="113"/>
      <c r="Z327" s="113"/>
      <c r="AA327" s="113"/>
    </row>
    <row r="328" spans="1:27" s="70" customFormat="1" x14ac:dyDescent="0.25">
      <c r="A328" s="99" t="s">
        <v>616</v>
      </c>
      <c r="B328" s="1" t="s">
        <v>617</v>
      </c>
      <c r="C328" s="11">
        <v>0</v>
      </c>
      <c r="D328" s="11">
        <v>0</v>
      </c>
      <c r="E328" s="11">
        <v>0</v>
      </c>
      <c r="F328" s="11">
        <v>0</v>
      </c>
      <c r="G328" s="11"/>
      <c r="H328" s="11">
        <v>0</v>
      </c>
      <c r="I328" s="11">
        <v>174351</v>
      </c>
      <c r="J328" s="11">
        <f t="shared" si="97"/>
        <v>174351</v>
      </c>
      <c r="K328" s="11">
        <v>174351</v>
      </c>
      <c r="L328" s="10">
        <f t="shared" si="99"/>
        <v>0</v>
      </c>
      <c r="M328" s="11">
        <v>174351</v>
      </c>
      <c r="N328" s="11">
        <v>0</v>
      </c>
      <c r="O328" s="11">
        <v>174351</v>
      </c>
      <c r="P328" s="11">
        <f t="shared" si="95"/>
        <v>0</v>
      </c>
      <c r="Q328" s="11">
        <f t="shared" si="98"/>
        <v>174351</v>
      </c>
      <c r="R328" s="11">
        <f t="shared" si="96"/>
        <v>0</v>
      </c>
      <c r="S328" s="111"/>
      <c r="T328" s="113"/>
      <c r="U328" s="113"/>
      <c r="V328" s="113"/>
      <c r="W328" s="113"/>
      <c r="X328" s="113"/>
      <c r="Y328" s="113"/>
      <c r="Z328" s="113"/>
      <c r="AA328" s="113"/>
    </row>
    <row r="329" spans="1:27" s="70" customFormat="1" x14ac:dyDescent="0.25">
      <c r="A329" s="99" t="s">
        <v>618</v>
      </c>
      <c r="B329" s="1" t="s">
        <v>619</v>
      </c>
      <c r="C329" s="11">
        <v>0</v>
      </c>
      <c r="D329" s="11">
        <v>0</v>
      </c>
      <c r="E329" s="11">
        <v>0</v>
      </c>
      <c r="F329" s="11">
        <v>0</v>
      </c>
      <c r="G329" s="11"/>
      <c r="H329" s="11">
        <v>0</v>
      </c>
      <c r="I329" s="11">
        <v>3527889</v>
      </c>
      <c r="J329" s="11">
        <f t="shared" si="97"/>
        <v>3527889</v>
      </c>
      <c r="K329" s="11">
        <v>3527889</v>
      </c>
      <c r="L329" s="10">
        <f t="shared" si="99"/>
        <v>0</v>
      </c>
      <c r="M329" s="11">
        <v>3527889</v>
      </c>
      <c r="N329" s="11">
        <v>480368</v>
      </c>
      <c r="O329" s="11">
        <v>3527889</v>
      </c>
      <c r="P329" s="11">
        <f t="shared" si="95"/>
        <v>0</v>
      </c>
      <c r="Q329" s="11">
        <f t="shared" si="98"/>
        <v>3527889</v>
      </c>
      <c r="R329" s="11">
        <f t="shared" si="96"/>
        <v>0</v>
      </c>
      <c r="S329" s="111"/>
      <c r="T329" s="113"/>
      <c r="U329" s="113"/>
      <c r="V329" s="113"/>
      <c r="W329" s="113"/>
      <c r="X329" s="113"/>
      <c r="Y329" s="113"/>
      <c r="Z329" s="113"/>
      <c r="AA329" s="113"/>
    </row>
    <row r="330" spans="1:27" s="70" customFormat="1" x14ac:dyDescent="0.25">
      <c r="A330" s="99" t="s">
        <v>620</v>
      </c>
      <c r="B330" s="1" t="s">
        <v>621</v>
      </c>
      <c r="C330" s="11">
        <v>0</v>
      </c>
      <c r="D330" s="11">
        <v>0</v>
      </c>
      <c r="E330" s="11">
        <v>0</v>
      </c>
      <c r="F330" s="11">
        <v>0</v>
      </c>
      <c r="G330" s="11"/>
      <c r="H330" s="11">
        <v>0</v>
      </c>
      <c r="I330" s="11">
        <v>1515051</v>
      </c>
      <c r="J330" s="11">
        <f t="shared" si="97"/>
        <v>1515051</v>
      </c>
      <c r="K330" s="11">
        <v>1515051</v>
      </c>
      <c r="L330" s="10">
        <f t="shared" si="99"/>
        <v>0</v>
      </c>
      <c r="M330" s="11">
        <v>1515051</v>
      </c>
      <c r="N330" s="11">
        <v>0</v>
      </c>
      <c r="O330" s="11">
        <v>1515051</v>
      </c>
      <c r="P330" s="11">
        <f t="shared" si="95"/>
        <v>0</v>
      </c>
      <c r="Q330" s="11">
        <f t="shared" si="98"/>
        <v>1515051</v>
      </c>
      <c r="R330" s="11">
        <f t="shared" si="96"/>
        <v>0</v>
      </c>
      <c r="S330" s="111"/>
      <c r="T330" s="113"/>
      <c r="U330" s="113"/>
      <c r="V330" s="113"/>
      <c r="W330" s="113"/>
      <c r="X330" s="113"/>
      <c r="Y330" s="113"/>
      <c r="Z330" s="113"/>
      <c r="AA330" s="113"/>
    </row>
    <row r="331" spans="1:27" s="183" customFormat="1" x14ac:dyDescent="0.25">
      <c r="A331" s="4" t="s">
        <v>622</v>
      </c>
      <c r="B331" s="5" t="s">
        <v>623</v>
      </c>
      <c r="C331" s="10">
        <f>SUM(C332:C344)</f>
        <v>0</v>
      </c>
      <c r="D331" s="10">
        <f t="shared" ref="D331:R331" si="100">SUM(D332:D344)</f>
        <v>0</v>
      </c>
      <c r="E331" s="10">
        <f t="shared" si="100"/>
        <v>0</v>
      </c>
      <c r="F331" s="10">
        <f t="shared" si="100"/>
        <v>0</v>
      </c>
      <c r="G331" s="10">
        <f t="shared" si="100"/>
        <v>0</v>
      </c>
      <c r="H331" s="10">
        <f t="shared" si="100"/>
        <v>0</v>
      </c>
      <c r="I331" s="10">
        <f t="shared" si="100"/>
        <v>741606380</v>
      </c>
      <c r="J331" s="10">
        <f t="shared" si="100"/>
        <v>741606380</v>
      </c>
      <c r="K331" s="10">
        <f t="shared" si="100"/>
        <v>655184601</v>
      </c>
      <c r="L331" s="10">
        <f t="shared" si="99"/>
        <v>86421779</v>
      </c>
      <c r="M331" s="10">
        <f t="shared" si="100"/>
        <v>655184601</v>
      </c>
      <c r="N331" s="10">
        <f t="shared" si="100"/>
        <v>4982488</v>
      </c>
      <c r="O331" s="10">
        <f t="shared" si="100"/>
        <v>655184601</v>
      </c>
      <c r="P331" s="10">
        <f t="shared" si="100"/>
        <v>86421779</v>
      </c>
      <c r="Q331" s="10">
        <f t="shared" si="100"/>
        <v>655184601</v>
      </c>
      <c r="R331" s="10">
        <f t="shared" si="100"/>
        <v>0</v>
      </c>
      <c r="S331" s="111"/>
      <c r="T331" s="113"/>
      <c r="U331" s="113"/>
      <c r="V331" s="113"/>
      <c r="W331" s="113"/>
      <c r="X331" s="113"/>
      <c r="Y331" s="113"/>
      <c r="Z331" s="113"/>
      <c r="AA331" s="113"/>
    </row>
    <row r="332" spans="1:27" s="70" customFormat="1" x14ac:dyDescent="0.25">
      <c r="A332" s="99" t="s">
        <v>624</v>
      </c>
      <c r="B332" s="1" t="s">
        <v>625</v>
      </c>
      <c r="C332" s="11">
        <v>0</v>
      </c>
      <c r="D332" s="11">
        <v>0</v>
      </c>
      <c r="E332" s="11">
        <v>0</v>
      </c>
      <c r="F332" s="11">
        <v>0</v>
      </c>
      <c r="G332" s="11"/>
      <c r="H332" s="11">
        <v>0</v>
      </c>
      <c r="I332" s="11">
        <v>23163910</v>
      </c>
      <c r="J332" s="11">
        <f t="shared" si="97"/>
        <v>23163910</v>
      </c>
      <c r="K332" s="11">
        <v>23163910</v>
      </c>
      <c r="L332" s="10">
        <f t="shared" si="99"/>
        <v>0</v>
      </c>
      <c r="M332" s="11">
        <v>23163910</v>
      </c>
      <c r="N332" s="11">
        <v>4982488</v>
      </c>
      <c r="O332" s="11">
        <v>23163910</v>
      </c>
      <c r="P332" s="11">
        <f t="shared" ref="P332:P344" si="101">+J332-O332</f>
        <v>0</v>
      </c>
      <c r="Q332" s="11">
        <f t="shared" si="98"/>
        <v>23163910</v>
      </c>
      <c r="R332" s="11">
        <f t="shared" ref="R332:R344" si="102">+K332-M332</f>
        <v>0</v>
      </c>
      <c r="S332" s="111"/>
      <c r="T332" s="113"/>
      <c r="U332" s="113"/>
      <c r="V332" s="113"/>
      <c r="W332" s="113"/>
      <c r="X332" s="113"/>
      <c r="Y332" s="113"/>
      <c r="Z332" s="113"/>
      <c r="AA332" s="113"/>
    </row>
    <row r="333" spans="1:27" s="70" customFormat="1" x14ac:dyDescent="0.25">
      <c r="A333" s="99" t="s">
        <v>626</v>
      </c>
      <c r="B333" s="1" t="s">
        <v>627</v>
      </c>
      <c r="C333" s="11">
        <v>0</v>
      </c>
      <c r="D333" s="11">
        <v>0</v>
      </c>
      <c r="E333" s="11">
        <v>0</v>
      </c>
      <c r="F333" s="11">
        <v>0</v>
      </c>
      <c r="G333" s="11"/>
      <c r="H333" s="11">
        <v>0</v>
      </c>
      <c r="I333" s="11">
        <v>6800000</v>
      </c>
      <c r="J333" s="11">
        <f t="shared" si="97"/>
        <v>6800000</v>
      </c>
      <c r="K333" s="11">
        <v>0</v>
      </c>
      <c r="L333" s="10">
        <f t="shared" si="99"/>
        <v>6800000</v>
      </c>
      <c r="M333" s="11">
        <v>0</v>
      </c>
      <c r="N333" s="11">
        <v>0</v>
      </c>
      <c r="O333" s="11">
        <v>0</v>
      </c>
      <c r="P333" s="11">
        <f t="shared" si="101"/>
        <v>6800000</v>
      </c>
      <c r="Q333" s="11">
        <f t="shared" si="98"/>
        <v>0</v>
      </c>
      <c r="R333" s="11">
        <f t="shared" si="102"/>
        <v>0</v>
      </c>
      <c r="S333" s="111"/>
      <c r="T333" s="113"/>
      <c r="U333" s="113"/>
      <c r="V333" s="113"/>
      <c r="W333" s="113"/>
      <c r="X333" s="113"/>
      <c r="Y333" s="113"/>
      <c r="Z333" s="113"/>
      <c r="AA333" s="113"/>
    </row>
    <row r="334" spans="1:27" s="70" customFormat="1" x14ac:dyDescent="0.25">
      <c r="A334" s="99" t="s">
        <v>628</v>
      </c>
      <c r="B334" s="1" t="s">
        <v>629</v>
      </c>
      <c r="C334" s="11">
        <v>0</v>
      </c>
      <c r="D334" s="11">
        <v>0</v>
      </c>
      <c r="E334" s="11">
        <v>0</v>
      </c>
      <c r="F334" s="11">
        <v>0</v>
      </c>
      <c r="G334" s="11"/>
      <c r="H334" s="11">
        <v>0</v>
      </c>
      <c r="I334" s="11">
        <v>64648367</v>
      </c>
      <c r="J334" s="11">
        <f t="shared" si="97"/>
        <v>64648367</v>
      </c>
      <c r="K334" s="11">
        <v>61802560</v>
      </c>
      <c r="L334" s="10">
        <f t="shared" si="99"/>
        <v>2845807</v>
      </c>
      <c r="M334" s="11">
        <v>61802560</v>
      </c>
      <c r="N334" s="11">
        <v>0</v>
      </c>
      <c r="O334" s="11">
        <v>61802560</v>
      </c>
      <c r="P334" s="11">
        <f t="shared" si="101"/>
        <v>2845807</v>
      </c>
      <c r="Q334" s="11">
        <f t="shared" si="98"/>
        <v>61802560</v>
      </c>
      <c r="R334" s="11">
        <f t="shared" si="102"/>
        <v>0</v>
      </c>
      <c r="S334" s="111"/>
      <c r="T334" s="113"/>
      <c r="U334" s="113"/>
      <c r="V334" s="113"/>
      <c r="W334" s="113"/>
      <c r="X334" s="113"/>
      <c r="Y334" s="113"/>
      <c r="Z334" s="113"/>
      <c r="AA334" s="113"/>
    </row>
    <row r="335" spans="1:27" s="70" customFormat="1" x14ac:dyDescent="0.25">
      <c r="A335" s="99" t="s">
        <v>630</v>
      </c>
      <c r="B335" s="1" t="s">
        <v>631</v>
      </c>
      <c r="C335" s="11">
        <v>0</v>
      </c>
      <c r="D335" s="11">
        <v>0</v>
      </c>
      <c r="E335" s="11">
        <v>0</v>
      </c>
      <c r="F335" s="11">
        <v>0</v>
      </c>
      <c r="G335" s="11"/>
      <c r="H335" s="11">
        <v>0</v>
      </c>
      <c r="I335" s="11">
        <v>26726376</v>
      </c>
      <c r="J335" s="11">
        <f t="shared" si="97"/>
        <v>26726376</v>
      </c>
      <c r="K335" s="11">
        <v>25800000</v>
      </c>
      <c r="L335" s="10">
        <f t="shared" si="99"/>
        <v>926376</v>
      </c>
      <c r="M335" s="11">
        <v>25800000</v>
      </c>
      <c r="N335" s="11">
        <v>0</v>
      </c>
      <c r="O335" s="11">
        <v>25800000</v>
      </c>
      <c r="P335" s="11">
        <f t="shared" si="101"/>
        <v>926376</v>
      </c>
      <c r="Q335" s="11">
        <f t="shared" si="98"/>
        <v>25800000</v>
      </c>
      <c r="R335" s="11">
        <f t="shared" si="102"/>
        <v>0</v>
      </c>
      <c r="S335" s="111"/>
      <c r="T335" s="113"/>
      <c r="U335" s="113"/>
      <c r="V335" s="113"/>
      <c r="W335" s="113"/>
      <c r="X335" s="113"/>
      <c r="Y335" s="113"/>
      <c r="Z335" s="113"/>
      <c r="AA335" s="113"/>
    </row>
    <row r="336" spans="1:27" s="70" customFormat="1" x14ac:dyDescent="0.25">
      <c r="A336" s="99" t="s">
        <v>632</v>
      </c>
      <c r="B336" s="1" t="s">
        <v>633</v>
      </c>
      <c r="C336" s="11">
        <v>0</v>
      </c>
      <c r="D336" s="11">
        <v>0</v>
      </c>
      <c r="E336" s="11">
        <v>0</v>
      </c>
      <c r="F336" s="11">
        <v>0</v>
      </c>
      <c r="G336" s="11"/>
      <c r="H336" s="11">
        <v>0</v>
      </c>
      <c r="I336" s="11">
        <v>48788570</v>
      </c>
      <c r="J336" s="11">
        <f t="shared" si="97"/>
        <v>48788570</v>
      </c>
      <c r="K336" s="11">
        <v>23264748</v>
      </c>
      <c r="L336" s="10">
        <f t="shared" si="99"/>
        <v>25523822</v>
      </c>
      <c r="M336" s="11">
        <v>23264748</v>
      </c>
      <c r="N336" s="11">
        <v>0</v>
      </c>
      <c r="O336" s="11">
        <v>23264748</v>
      </c>
      <c r="P336" s="11">
        <f t="shared" si="101"/>
        <v>25523822</v>
      </c>
      <c r="Q336" s="11">
        <f t="shared" si="98"/>
        <v>23264748</v>
      </c>
      <c r="R336" s="11">
        <f t="shared" si="102"/>
        <v>0</v>
      </c>
      <c r="S336" s="111"/>
      <c r="T336" s="113"/>
      <c r="U336" s="113"/>
      <c r="V336" s="113"/>
      <c r="W336" s="113"/>
      <c r="X336" s="113"/>
      <c r="Y336" s="113"/>
      <c r="Z336" s="113"/>
      <c r="AA336" s="113"/>
    </row>
    <row r="337" spans="1:27" s="70" customFormat="1" x14ac:dyDescent="0.25">
      <c r="A337" s="99" t="s">
        <v>634</v>
      </c>
      <c r="B337" s="1" t="s">
        <v>635</v>
      </c>
      <c r="C337" s="11">
        <v>0</v>
      </c>
      <c r="D337" s="11">
        <v>0</v>
      </c>
      <c r="E337" s="11">
        <v>0</v>
      </c>
      <c r="F337" s="11">
        <v>0</v>
      </c>
      <c r="G337" s="11"/>
      <c r="H337" s="11">
        <v>0</v>
      </c>
      <c r="I337" s="11">
        <v>31182975</v>
      </c>
      <c r="J337" s="11">
        <f t="shared" si="97"/>
        <v>31182975</v>
      </c>
      <c r="K337" s="11">
        <v>31182975</v>
      </c>
      <c r="L337" s="10">
        <f t="shared" si="99"/>
        <v>0</v>
      </c>
      <c r="M337" s="11">
        <v>31182975</v>
      </c>
      <c r="N337" s="11">
        <v>0</v>
      </c>
      <c r="O337" s="11">
        <v>31182975</v>
      </c>
      <c r="P337" s="11">
        <f t="shared" si="101"/>
        <v>0</v>
      </c>
      <c r="Q337" s="11">
        <f t="shared" si="98"/>
        <v>31182975</v>
      </c>
      <c r="R337" s="11">
        <f t="shared" si="102"/>
        <v>0</v>
      </c>
      <c r="S337" s="111"/>
      <c r="T337" s="113"/>
      <c r="U337" s="113"/>
      <c r="V337" s="113"/>
      <c r="W337" s="113"/>
      <c r="X337" s="113"/>
      <c r="Y337" s="113"/>
      <c r="Z337" s="113"/>
      <c r="AA337" s="113"/>
    </row>
    <row r="338" spans="1:27" s="70" customFormat="1" x14ac:dyDescent="0.25">
      <c r="A338" s="99" t="s">
        <v>636</v>
      </c>
      <c r="B338" s="1" t="s">
        <v>637</v>
      </c>
      <c r="C338" s="11">
        <v>0</v>
      </c>
      <c r="D338" s="11">
        <v>0</v>
      </c>
      <c r="E338" s="11">
        <v>0</v>
      </c>
      <c r="F338" s="11">
        <v>0</v>
      </c>
      <c r="G338" s="11"/>
      <c r="H338" s="11">
        <v>0</v>
      </c>
      <c r="I338" s="11">
        <v>7266911</v>
      </c>
      <c r="J338" s="11">
        <f t="shared" si="97"/>
        <v>7266911</v>
      </c>
      <c r="K338" s="11">
        <v>7266911</v>
      </c>
      <c r="L338" s="10">
        <f t="shared" si="99"/>
        <v>0</v>
      </c>
      <c r="M338" s="11">
        <v>7266911</v>
      </c>
      <c r="N338" s="11">
        <v>0</v>
      </c>
      <c r="O338" s="11">
        <v>7266911</v>
      </c>
      <c r="P338" s="11">
        <f t="shared" si="101"/>
        <v>0</v>
      </c>
      <c r="Q338" s="11">
        <f t="shared" si="98"/>
        <v>7266911</v>
      </c>
      <c r="R338" s="11">
        <f t="shared" si="102"/>
        <v>0</v>
      </c>
      <c r="S338" s="111"/>
      <c r="T338" s="113"/>
      <c r="U338" s="113"/>
      <c r="V338" s="113"/>
      <c r="W338" s="113"/>
      <c r="X338" s="113"/>
      <c r="Y338" s="113"/>
      <c r="Z338" s="113"/>
      <c r="AA338" s="113"/>
    </row>
    <row r="339" spans="1:27" s="70" customFormat="1" x14ac:dyDescent="0.25">
      <c r="A339" s="99" t="s">
        <v>638</v>
      </c>
      <c r="B339" s="1" t="s">
        <v>639</v>
      </c>
      <c r="C339" s="11">
        <v>0</v>
      </c>
      <c r="D339" s="11">
        <v>0</v>
      </c>
      <c r="E339" s="11">
        <v>0</v>
      </c>
      <c r="F339" s="11">
        <v>0</v>
      </c>
      <c r="G339" s="11"/>
      <c r="H339" s="11">
        <v>0</v>
      </c>
      <c r="I339" s="11">
        <v>49252660</v>
      </c>
      <c r="J339" s="11">
        <f t="shared" si="97"/>
        <v>49252660</v>
      </c>
      <c r="K339" s="11">
        <v>45531965</v>
      </c>
      <c r="L339" s="10">
        <f t="shared" si="99"/>
        <v>3720695</v>
      </c>
      <c r="M339" s="11">
        <v>45531965</v>
      </c>
      <c r="N339" s="11">
        <v>0</v>
      </c>
      <c r="O339" s="11">
        <v>45531965</v>
      </c>
      <c r="P339" s="11">
        <f t="shared" si="101"/>
        <v>3720695</v>
      </c>
      <c r="Q339" s="11">
        <f t="shared" si="98"/>
        <v>45531965</v>
      </c>
      <c r="R339" s="11">
        <f t="shared" si="102"/>
        <v>0</v>
      </c>
      <c r="S339" s="111"/>
      <c r="T339" s="113"/>
      <c r="U339" s="113"/>
      <c r="V339" s="113"/>
      <c r="W339" s="113"/>
      <c r="X339" s="113"/>
      <c r="Y339" s="113"/>
      <c r="Z339" s="113"/>
      <c r="AA339" s="113"/>
    </row>
    <row r="340" spans="1:27" s="70" customFormat="1" x14ac:dyDescent="0.25">
      <c r="A340" s="99" t="s">
        <v>640</v>
      </c>
      <c r="B340" s="1" t="s">
        <v>641</v>
      </c>
      <c r="C340" s="11">
        <v>0</v>
      </c>
      <c r="D340" s="11">
        <v>0</v>
      </c>
      <c r="E340" s="11">
        <v>0</v>
      </c>
      <c r="F340" s="11">
        <v>0</v>
      </c>
      <c r="G340" s="11"/>
      <c r="H340" s="11">
        <v>0</v>
      </c>
      <c r="I340" s="11">
        <v>49911389</v>
      </c>
      <c r="J340" s="11">
        <f t="shared" si="97"/>
        <v>49911389</v>
      </c>
      <c r="K340" s="11">
        <v>7748800</v>
      </c>
      <c r="L340" s="10">
        <f t="shared" si="99"/>
        <v>42162589</v>
      </c>
      <c r="M340" s="11">
        <v>7748800</v>
      </c>
      <c r="N340" s="11">
        <v>0</v>
      </c>
      <c r="O340" s="11">
        <v>7748800</v>
      </c>
      <c r="P340" s="11">
        <f t="shared" si="101"/>
        <v>42162589</v>
      </c>
      <c r="Q340" s="11">
        <f t="shared" si="98"/>
        <v>7748800</v>
      </c>
      <c r="R340" s="11">
        <f t="shared" si="102"/>
        <v>0</v>
      </c>
      <c r="S340" s="111"/>
      <c r="T340" s="113"/>
      <c r="U340" s="113"/>
      <c r="V340" s="113"/>
      <c r="W340" s="113"/>
      <c r="X340" s="113"/>
      <c r="Y340" s="113"/>
      <c r="Z340" s="113"/>
      <c r="AA340" s="113"/>
    </row>
    <row r="341" spans="1:27" s="70" customFormat="1" x14ac:dyDescent="0.25">
      <c r="A341" s="99" t="s">
        <v>642</v>
      </c>
      <c r="B341" s="1" t="s">
        <v>643</v>
      </c>
      <c r="C341" s="11">
        <v>0</v>
      </c>
      <c r="D341" s="11">
        <v>0</v>
      </c>
      <c r="E341" s="11">
        <v>0</v>
      </c>
      <c r="F341" s="11">
        <v>0</v>
      </c>
      <c r="G341" s="11"/>
      <c r="H341" s="11">
        <v>0</v>
      </c>
      <c r="I341" s="11">
        <v>45959814</v>
      </c>
      <c r="J341" s="11">
        <f t="shared" si="97"/>
        <v>45959814</v>
      </c>
      <c r="K341" s="11">
        <v>45919550</v>
      </c>
      <c r="L341" s="10">
        <f t="shared" si="99"/>
        <v>40264</v>
      </c>
      <c r="M341" s="11">
        <v>45919550</v>
      </c>
      <c r="N341" s="11">
        <v>0</v>
      </c>
      <c r="O341" s="11">
        <v>45919550</v>
      </c>
      <c r="P341" s="11">
        <f t="shared" si="101"/>
        <v>40264</v>
      </c>
      <c r="Q341" s="11">
        <f t="shared" si="98"/>
        <v>45919550</v>
      </c>
      <c r="R341" s="11">
        <f t="shared" si="102"/>
        <v>0</v>
      </c>
      <c r="S341" s="111"/>
      <c r="T341" s="113"/>
      <c r="U341" s="113"/>
      <c r="V341" s="113"/>
      <c r="W341" s="113"/>
      <c r="X341" s="113"/>
      <c r="Y341" s="113"/>
      <c r="Z341" s="113"/>
      <c r="AA341" s="113"/>
    </row>
    <row r="342" spans="1:27" s="70" customFormat="1" x14ac:dyDescent="0.25">
      <c r="A342" s="99" t="s">
        <v>644</v>
      </c>
      <c r="B342" s="1" t="s">
        <v>645</v>
      </c>
      <c r="C342" s="11">
        <v>0</v>
      </c>
      <c r="D342" s="11">
        <v>0</v>
      </c>
      <c r="E342" s="11">
        <v>0</v>
      </c>
      <c r="F342" s="11">
        <v>0</v>
      </c>
      <c r="G342" s="11"/>
      <c r="H342" s="11">
        <v>0</v>
      </c>
      <c r="I342" s="11">
        <v>45500000</v>
      </c>
      <c r="J342" s="11">
        <f t="shared" si="97"/>
        <v>45500000</v>
      </c>
      <c r="K342" s="11">
        <v>42500000</v>
      </c>
      <c r="L342" s="10">
        <f t="shared" si="99"/>
        <v>3000000</v>
      </c>
      <c r="M342" s="11">
        <v>42500000</v>
      </c>
      <c r="N342" s="11">
        <v>0</v>
      </c>
      <c r="O342" s="11">
        <v>42500000</v>
      </c>
      <c r="P342" s="11">
        <f t="shared" si="101"/>
        <v>3000000</v>
      </c>
      <c r="Q342" s="11">
        <f t="shared" si="98"/>
        <v>42500000</v>
      </c>
      <c r="R342" s="11">
        <f t="shared" si="102"/>
        <v>0</v>
      </c>
      <c r="S342" s="111"/>
      <c r="T342" s="113"/>
      <c r="U342" s="113"/>
      <c r="V342" s="113"/>
      <c r="W342" s="113"/>
      <c r="X342" s="113"/>
      <c r="Y342" s="113"/>
      <c r="Z342" s="113"/>
      <c r="AA342" s="113"/>
    </row>
    <row r="343" spans="1:27" s="70" customFormat="1" x14ac:dyDescent="0.25">
      <c r="A343" s="99" t="s">
        <v>646</v>
      </c>
      <c r="B343" s="1" t="s">
        <v>647</v>
      </c>
      <c r="C343" s="11">
        <v>0</v>
      </c>
      <c r="D343" s="11">
        <v>0</v>
      </c>
      <c r="E343" s="11">
        <v>0</v>
      </c>
      <c r="F343" s="11">
        <v>0</v>
      </c>
      <c r="G343" s="11"/>
      <c r="H343" s="11">
        <v>0</v>
      </c>
      <c r="I343" s="11">
        <v>331179458</v>
      </c>
      <c r="J343" s="11">
        <f t="shared" si="97"/>
        <v>331179458</v>
      </c>
      <c r="K343" s="11">
        <v>331027232</v>
      </c>
      <c r="L343" s="10">
        <f t="shared" si="99"/>
        <v>152226</v>
      </c>
      <c r="M343" s="11">
        <v>331027232</v>
      </c>
      <c r="N343" s="11">
        <v>0</v>
      </c>
      <c r="O343" s="11">
        <v>331027232</v>
      </c>
      <c r="P343" s="11">
        <f t="shared" si="101"/>
        <v>152226</v>
      </c>
      <c r="Q343" s="11">
        <f t="shared" si="98"/>
        <v>331027232</v>
      </c>
      <c r="R343" s="11">
        <f t="shared" si="102"/>
        <v>0</v>
      </c>
      <c r="S343" s="111"/>
      <c r="T343" s="113"/>
      <c r="U343" s="113"/>
      <c r="V343" s="113"/>
      <c r="W343" s="113"/>
      <c r="X343" s="113"/>
      <c r="Y343" s="113"/>
      <c r="Z343" s="113"/>
      <c r="AA343" s="113"/>
    </row>
    <row r="344" spans="1:27" s="70" customFormat="1" x14ac:dyDescent="0.25">
      <c r="A344" s="99" t="s">
        <v>648</v>
      </c>
      <c r="B344" s="1" t="s">
        <v>649</v>
      </c>
      <c r="C344" s="11">
        <v>0</v>
      </c>
      <c r="D344" s="11">
        <v>0</v>
      </c>
      <c r="E344" s="11">
        <v>0</v>
      </c>
      <c r="F344" s="11">
        <v>0</v>
      </c>
      <c r="G344" s="11"/>
      <c r="H344" s="11">
        <v>0</v>
      </c>
      <c r="I344" s="11">
        <v>11225950</v>
      </c>
      <c r="J344" s="11">
        <f t="shared" si="97"/>
        <v>11225950</v>
      </c>
      <c r="K344" s="11">
        <v>9975950</v>
      </c>
      <c r="L344" s="10">
        <f t="shared" si="99"/>
        <v>1250000</v>
      </c>
      <c r="M344" s="11">
        <v>9975950</v>
      </c>
      <c r="N344" s="11">
        <v>0</v>
      </c>
      <c r="O344" s="11">
        <v>9975950</v>
      </c>
      <c r="P344" s="11">
        <f t="shared" si="101"/>
        <v>1250000</v>
      </c>
      <c r="Q344" s="11">
        <f t="shared" si="98"/>
        <v>9975950</v>
      </c>
      <c r="R344" s="11">
        <f t="shared" si="102"/>
        <v>0</v>
      </c>
      <c r="S344" s="111"/>
      <c r="T344" s="114"/>
      <c r="U344" s="114"/>
      <c r="V344" s="114"/>
      <c r="W344" s="114"/>
      <c r="X344" s="114"/>
      <c r="Y344" s="114"/>
      <c r="Z344" s="114"/>
      <c r="AA344" s="114"/>
    </row>
    <row r="345" spans="1:27" s="183" customFormat="1" x14ac:dyDescent="0.25">
      <c r="A345" s="4" t="s">
        <v>650</v>
      </c>
      <c r="B345" s="5" t="s">
        <v>651</v>
      </c>
      <c r="C345" s="10">
        <f>SUM(C346:C366)</f>
        <v>0</v>
      </c>
      <c r="D345" s="10">
        <f t="shared" ref="D345:R345" si="103">SUM(D346:D366)</f>
        <v>0</v>
      </c>
      <c r="E345" s="10">
        <f t="shared" si="103"/>
        <v>0</v>
      </c>
      <c r="F345" s="10">
        <f t="shared" si="103"/>
        <v>0</v>
      </c>
      <c r="G345" s="10">
        <f t="shared" si="103"/>
        <v>0</v>
      </c>
      <c r="H345" s="10">
        <f t="shared" si="103"/>
        <v>0</v>
      </c>
      <c r="I345" s="10">
        <f t="shared" si="103"/>
        <v>3434760384</v>
      </c>
      <c r="J345" s="10">
        <f t="shared" si="103"/>
        <v>3434760384</v>
      </c>
      <c r="K345" s="10">
        <f t="shared" si="103"/>
        <v>3156666195.52</v>
      </c>
      <c r="L345" s="10">
        <f t="shared" si="99"/>
        <v>278094188.48000002</v>
      </c>
      <c r="M345" s="10">
        <f t="shared" si="103"/>
        <v>2888924180.52</v>
      </c>
      <c r="N345" s="10">
        <f t="shared" si="103"/>
        <v>408031639</v>
      </c>
      <c r="O345" s="10">
        <f t="shared" si="103"/>
        <v>3187104226.52</v>
      </c>
      <c r="P345" s="10">
        <f t="shared" si="103"/>
        <v>247656157.48000002</v>
      </c>
      <c r="Q345" s="10">
        <f t="shared" si="103"/>
        <v>2888924180.52</v>
      </c>
      <c r="R345" s="10">
        <f t="shared" si="103"/>
        <v>267742015</v>
      </c>
      <c r="S345" s="184"/>
      <c r="T345" s="184"/>
      <c r="U345" s="184"/>
      <c r="V345" s="184"/>
      <c r="W345" s="184"/>
      <c r="X345" s="184"/>
      <c r="Y345" s="184"/>
      <c r="Z345" s="184"/>
      <c r="AA345" s="184"/>
    </row>
    <row r="346" spans="1:27" s="70" customFormat="1" x14ac:dyDescent="0.25">
      <c r="A346" s="99" t="s">
        <v>652</v>
      </c>
      <c r="B346" s="1" t="s">
        <v>653</v>
      </c>
      <c r="C346" s="11">
        <v>0</v>
      </c>
      <c r="D346" s="11">
        <v>0</v>
      </c>
      <c r="E346" s="11">
        <v>0</v>
      </c>
      <c r="F346" s="11">
        <v>0</v>
      </c>
      <c r="G346" s="11"/>
      <c r="H346" s="11">
        <v>0</v>
      </c>
      <c r="I346" s="11">
        <v>54442530</v>
      </c>
      <c r="J346" s="11">
        <f t="shared" si="97"/>
        <v>54442530</v>
      </c>
      <c r="K346" s="11">
        <v>54442530</v>
      </c>
      <c r="L346" s="10">
        <f t="shared" si="99"/>
        <v>0</v>
      </c>
      <c r="M346" s="11">
        <v>54442530</v>
      </c>
      <c r="N346" s="11">
        <v>0</v>
      </c>
      <c r="O346" s="11">
        <v>54442530</v>
      </c>
      <c r="P346" s="11">
        <f t="shared" ref="P346:P366" si="104">+J346-O346</f>
        <v>0</v>
      </c>
      <c r="Q346" s="11">
        <f t="shared" si="98"/>
        <v>54442530</v>
      </c>
      <c r="R346" s="11">
        <f t="shared" ref="R346:R366" si="105">+K346-M346</f>
        <v>0</v>
      </c>
      <c r="S346" s="184"/>
      <c r="T346" s="184"/>
      <c r="U346" s="184"/>
      <c r="V346" s="184"/>
      <c r="W346" s="184"/>
      <c r="X346" s="184"/>
      <c r="Y346" s="184"/>
      <c r="Z346" s="184"/>
      <c r="AA346" s="184"/>
    </row>
    <row r="347" spans="1:27" s="70" customFormat="1" x14ac:dyDescent="0.25">
      <c r="A347" s="99" t="s">
        <v>654</v>
      </c>
      <c r="B347" s="1" t="s">
        <v>655</v>
      </c>
      <c r="C347" s="11">
        <v>0</v>
      </c>
      <c r="D347" s="11">
        <v>0</v>
      </c>
      <c r="E347" s="11">
        <v>0</v>
      </c>
      <c r="F347" s="11">
        <v>0</v>
      </c>
      <c r="G347" s="11"/>
      <c r="H347" s="11">
        <v>0</v>
      </c>
      <c r="I347" s="11">
        <v>400000000</v>
      </c>
      <c r="J347" s="11">
        <f t="shared" si="97"/>
        <v>400000000</v>
      </c>
      <c r="K347" s="11">
        <v>350000000</v>
      </c>
      <c r="L347" s="10">
        <f t="shared" si="99"/>
        <v>50000000</v>
      </c>
      <c r="M347" s="11">
        <v>350000000</v>
      </c>
      <c r="N347" s="11">
        <v>0</v>
      </c>
      <c r="O347" s="11">
        <v>350000000</v>
      </c>
      <c r="P347" s="11">
        <f t="shared" si="104"/>
        <v>50000000</v>
      </c>
      <c r="Q347" s="11">
        <f t="shared" si="98"/>
        <v>350000000</v>
      </c>
      <c r="R347" s="11">
        <f t="shared" si="105"/>
        <v>0</v>
      </c>
      <c r="S347" s="184"/>
      <c r="T347" s="184"/>
      <c r="U347" s="184"/>
      <c r="V347" s="184"/>
      <c r="W347" s="184"/>
      <c r="X347" s="184"/>
      <c r="Y347" s="184"/>
      <c r="Z347" s="184"/>
      <c r="AA347" s="184"/>
    </row>
    <row r="348" spans="1:27" s="70" customFormat="1" x14ac:dyDescent="0.25">
      <c r="A348" s="99" t="s">
        <v>656</v>
      </c>
      <c r="B348" s="1" t="s">
        <v>657</v>
      </c>
      <c r="C348" s="11">
        <v>0</v>
      </c>
      <c r="D348" s="11">
        <v>0</v>
      </c>
      <c r="E348" s="11">
        <v>0</v>
      </c>
      <c r="F348" s="11">
        <v>0</v>
      </c>
      <c r="G348" s="11"/>
      <c r="H348" s="11">
        <v>0</v>
      </c>
      <c r="I348" s="11">
        <v>0</v>
      </c>
      <c r="J348" s="11">
        <f t="shared" si="97"/>
        <v>0</v>
      </c>
      <c r="K348" s="11">
        <v>0</v>
      </c>
      <c r="L348" s="10">
        <f t="shared" si="99"/>
        <v>0</v>
      </c>
      <c r="M348" s="11">
        <v>0</v>
      </c>
      <c r="N348" s="11">
        <v>0</v>
      </c>
      <c r="O348" s="11">
        <v>0</v>
      </c>
      <c r="P348" s="11">
        <f t="shared" si="104"/>
        <v>0</v>
      </c>
      <c r="Q348" s="11">
        <f t="shared" si="98"/>
        <v>0</v>
      </c>
      <c r="R348" s="11">
        <f t="shared" si="105"/>
        <v>0</v>
      </c>
      <c r="S348" s="184"/>
      <c r="T348" s="184"/>
      <c r="U348" s="184"/>
      <c r="V348" s="184"/>
      <c r="W348" s="184"/>
      <c r="X348" s="184"/>
      <c r="Y348" s="184"/>
      <c r="Z348" s="184"/>
      <c r="AA348" s="184"/>
    </row>
    <row r="349" spans="1:27" s="70" customFormat="1" x14ac:dyDescent="0.25">
      <c r="A349" s="99" t="s">
        <v>658</v>
      </c>
      <c r="B349" s="1" t="s">
        <v>659</v>
      </c>
      <c r="C349" s="11">
        <v>0</v>
      </c>
      <c r="D349" s="11">
        <v>0</v>
      </c>
      <c r="E349" s="11">
        <v>0</v>
      </c>
      <c r="F349" s="11">
        <v>0</v>
      </c>
      <c r="G349" s="11"/>
      <c r="H349" s="11">
        <v>0</v>
      </c>
      <c r="I349" s="11">
        <v>110348860</v>
      </c>
      <c r="J349" s="11">
        <f t="shared" si="97"/>
        <v>110348860</v>
      </c>
      <c r="K349" s="11">
        <v>79910829</v>
      </c>
      <c r="L349" s="10">
        <f t="shared" si="99"/>
        <v>30438031</v>
      </c>
      <c r="M349" s="11">
        <v>79910829</v>
      </c>
      <c r="N349" s="11">
        <v>0</v>
      </c>
      <c r="O349" s="11">
        <v>110348860</v>
      </c>
      <c r="P349" s="11">
        <f t="shared" si="104"/>
        <v>0</v>
      </c>
      <c r="Q349" s="11">
        <f t="shared" si="98"/>
        <v>79910829</v>
      </c>
      <c r="R349" s="11">
        <f t="shared" si="105"/>
        <v>0</v>
      </c>
      <c r="S349" s="184"/>
      <c r="T349" s="184"/>
      <c r="U349" s="184"/>
      <c r="V349" s="184"/>
      <c r="W349" s="184"/>
      <c r="X349" s="184"/>
      <c r="Y349" s="184"/>
      <c r="Z349" s="184"/>
      <c r="AA349" s="184"/>
    </row>
    <row r="350" spans="1:27" s="70" customFormat="1" x14ac:dyDescent="0.25">
      <c r="A350" s="99" t="s">
        <v>660</v>
      </c>
      <c r="B350" s="1" t="s">
        <v>661</v>
      </c>
      <c r="C350" s="11">
        <v>0</v>
      </c>
      <c r="D350" s="11">
        <v>0</v>
      </c>
      <c r="E350" s="11">
        <v>0</v>
      </c>
      <c r="F350" s="11">
        <v>0</v>
      </c>
      <c r="G350" s="11"/>
      <c r="H350" s="11">
        <v>0</v>
      </c>
      <c r="I350" s="11">
        <v>78077091</v>
      </c>
      <c r="J350" s="11">
        <f t="shared" si="97"/>
        <v>78077091</v>
      </c>
      <c r="K350" s="11">
        <v>78077091</v>
      </c>
      <c r="L350" s="10">
        <f t="shared" si="99"/>
        <v>0</v>
      </c>
      <c r="M350" s="11">
        <v>78077091</v>
      </c>
      <c r="N350" s="11">
        <v>8000000</v>
      </c>
      <c r="O350" s="11">
        <v>78077091</v>
      </c>
      <c r="P350" s="11">
        <f t="shared" si="104"/>
        <v>0</v>
      </c>
      <c r="Q350" s="11">
        <f t="shared" si="98"/>
        <v>78077091</v>
      </c>
      <c r="R350" s="11">
        <f t="shared" si="105"/>
        <v>0</v>
      </c>
      <c r="S350" s="184"/>
      <c r="T350" s="184"/>
      <c r="U350" s="184"/>
      <c r="V350" s="184"/>
      <c r="W350" s="184"/>
      <c r="X350" s="184"/>
      <c r="Y350" s="184"/>
      <c r="Z350" s="184"/>
      <c r="AA350" s="184"/>
    </row>
    <row r="351" spans="1:27" s="70" customFormat="1" x14ac:dyDescent="0.25">
      <c r="A351" s="99" t="s">
        <v>662</v>
      </c>
      <c r="B351" s="1" t="s">
        <v>663</v>
      </c>
      <c r="C351" s="11">
        <v>0</v>
      </c>
      <c r="D351" s="11">
        <v>0</v>
      </c>
      <c r="E351" s="11">
        <v>0</v>
      </c>
      <c r="F351" s="11">
        <v>0</v>
      </c>
      <c r="G351" s="11"/>
      <c r="H351" s="11">
        <v>0</v>
      </c>
      <c r="I351" s="11">
        <v>1374454023</v>
      </c>
      <c r="J351" s="11">
        <f t="shared" si="97"/>
        <v>1374454023</v>
      </c>
      <c r="K351" s="11">
        <v>1285712646.52</v>
      </c>
      <c r="L351" s="10">
        <f t="shared" si="99"/>
        <v>88741376.480000019</v>
      </c>
      <c r="M351" s="11">
        <f>1285712646.52-110050075</f>
        <v>1175662571.52</v>
      </c>
      <c r="N351" s="11">
        <v>135233624</v>
      </c>
      <c r="O351" s="11">
        <v>1285712646.52</v>
      </c>
      <c r="P351" s="11">
        <f t="shared" si="104"/>
        <v>88741376.480000019</v>
      </c>
      <c r="Q351" s="11">
        <f t="shared" si="98"/>
        <v>1175662571.52</v>
      </c>
      <c r="R351" s="11">
        <f t="shared" si="105"/>
        <v>110050075</v>
      </c>
      <c r="S351" s="184"/>
      <c r="T351" s="184"/>
      <c r="U351" s="184"/>
      <c r="V351" s="184"/>
      <c r="W351" s="184"/>
      <c r="X351" s="184"/>
      <c r="Y351" s="184"/>
      <c r="Z351" s="184"/>
      <c r="AA351" s="184"/>
    </row>
    <row r="352" spans="1:27" s="70" customFormat="1" x14ac:dyDescent="0.25">
      <c r="A352" s="99" t="s">
        <v>664</v>
      </c>
      <c r="B352" s="1" t="s">
        <v>665</v>
      </c>
      <c r="C352" s="11">
        <v>0</v>
      </c>
      <c r="D352" s="11">
        <v>0</v>
      </c>
      <c r="E352" s="11">
        <v>0</v>
      </c>
      <c r="F352" s="11">
        <v>0</v>
      </c>
      <c r="G352" s="11"/>
      <c r="H352" s="11">
        <v>0</v>
      </c>
      <c r="I352" s="11">
        <v>79302501</v>
      </c>
      <c r="J352" s="11">
        <f t="shared" si="97"/>
        <v>79302501</v>
      </c>
      <c r="K352" s="11">
        <v>79302501</v>
      </c>
      <c r="L352" s="10">
        <f t="shared" si="99"/>
        <v>0</v>
      </c>
      <c r="M352" s="11">
        <v>79302501</v>
      </c>
      <c r="N352" s="11">
        <v>78062500</v>
      </c>
      <c r="O352" s="11">
        <v>79302501</v>
      </c>
      <c r="P352" s="11">
        <f t="shared" si="104"/>
        <v>0</v>
      </c>
      <c r="Q352" s="11">
        <f t="shared" si="98"/>
        <v>79302501</v>
      </c>
      <c r="R352" s="11">
        <f t="shared" si="105"/>
        <v>0</v>
      </c>
      <c r="S352" s="184"/>
      <c r="T352" s="184"/>
      <c r="U352" s="184"/>
      <c r="V352" s="184"/>
      <c r="W352" s="184"/>
      <c r="X352" s="184"/>
      <c r="Y352" s="184"/>
      <c r="Z352" s="184"/>
      <c r="AA352" s="184"/>
    </row>
    <row r="353" spans="1:27" s="70" customFormat="1" x14ac:dyDescent="0.25">
      <c r="A353" s="99" t="s">
        <v>666</v>
      </c>
      <c r="B353" s="1" t="s">
        <v>667</v>
      </c>
      <c r="C353" s="11">
        <v>0</v>
      </c>
      <c r="D353" s="11">
        <v>0</v>
      </c>
      <c r="E353" s="11">
        <v>0</v>
      </c>
      <c r="F353" s="11">
        <v>0</v>
      </c>
      <c r="G353" s="11"/>
      <c r="H353" s="11">
        <v>0</v>
      </c>
      <c r="I353" s="11">
        <v>20000000</v>
      </c>
      <c r="J353" s="11">
        <f t="shared" si="97"/>
        <v>20000000</v>
      </c>
      <c r="K353" s="11">
        <v>0</v>
      </c>
      <c r="L353" s="10">
        <f t="shared" si="99"/>
        <v>20000000</v>
      </c>
      <c r="M353" s="11">
        <v>0</v>
      </c>
      <c r="N353" s="11">
        <v>0</v>
      </c>
      <c r="O353" s="11">
        <v>0</v>
      </c>
      <c r="P353" s="11">
        <f t="shared" si="104"/>
        <v>20000000</v>
      </c>
      <c r="Q353" s="11">
        <f t="shared" si="98"/>
        <v>0</v>
      </c>
      <c r="R353" s="11">
        <f t="shared" si="105"/>
        <v>0</v>
      </c>
      <c r="S353" s="184"/>
      <c r="T353" s="184"/>
      <c r="U353" s="184"/>
      <c r="V353" s="184"/>
      <c r="W353" s="184"/>
      <c r="X353" s="184"/>
      <c r="Y353" s="184"/>
      <c r="Z353" s="184"/>
      <c r="AA353" s="184"/>
    </row>
    <row r="354" spans="1:27" s="70" customFormat="1" x14ac:dyDescent="0.25">
      <c r="A354" s="99" t="s">
        <v>668</v>
      </c>
      <c r="B354" s="1" t="s">
        <v>669</v>
      </c>
      <c r="C354" s="11">
        <v>0</v>
      </c>
      <c r="D354" s="11">
        <v>0</v>
      </c>
      <c r="E354" s="11">
        <v>0</v>
      </c>
      <c r="F354" s="11">
        <v>0</v>
      </c>
      <c r="G354" s="11"/>
      <c r="H354" s="11">
        <v>0</v>
      </c>
      <c r="I354" s="11">
        <v>29012757</v>
      </c>
      <c r="J354" s="11">
        <f t="shared" si="97"/>
        <v>29012757</v>
      </c>
      <c r="K354" s="11">
        <v>28674841</v>
      </c>
      <c r="L354" s="10">
        <f t="shared" si="99"/>
        <v>337916</v>
      </c>
      <c r="M354" s="11">
        <v>28674841</v>
      </c>
      <c r="N354" s="11">
        <v>0</v>
      </c>
      <c r="O354" s="11">
        <v>28674841</v>
      </c>
      <c r="P354" s="11">
        <f t="shared" si="104"/>
        <v>337916</v>
      </c>
      <c r="Q354" s="11">
        <f t="shared" si="98"/>
        <v>28674841</v>
      </c>
      <c r="R354" s="11">
        <f t="shared" si="105"/>
        <v>0</v>
      </c>
      <c r="S354" s="184"/>
      <c r="T354" s="184"/>
      <c r="U354" s="184"/>
      <c r="V354" s="184"/>
      <c r="W354" s="184"/>
      <c r="X354" s="184"/>
      <c r="Y354" s="184"/>
      <c r="Z354" s="184"/>
      <c r="AA354" s="184"/>
    </row>
    <row r="355" spans="1:27" s="70" customFormat="1" x14ac:dyDescent="0.25">
      <c r="A355" s="99" t="s">
        <v>670</v>
      </c>
      <c r="B355" s="1" t="s">
        <v>671</v>
      </c>
      <c r="C355" s="11">
        <v>0</v>
      </c>
      <c r="D355" s="11">
        <v>0</v>
      </c>
      <c r="E355" s="11">
        <v>0</v>
      </c>
      <c r="F355" s="11">
        <v>0</v>
      </c>
      <c r="G355" s="11"/>
      <c r="H355" s="11">
        <v>0</v>
      </c>
      <c r="I355" s="11">
        <v>39761339</v>
      </c>
      <c r="J355" s="11">
        <f t="shared" si="97"/>
        <v>39761339</v>
      </c>
      <c r="K355" s="11">
        <v>36668009</v>
      </c>
      <c r="L355" s="10">
        <f t="shared" si="99"/>
        <v>3093330</v>
      </c>
      <c r="M355" s="11">
        <f>36607434-2789425</f>
        <v>33818009</v>
      </c>
      <c r="N355" s="11">
        <v>60575</v>
      </c>
      <c r="O355" s="11">
        <v>36668009</v>
      </c>
      <c r="P355" s="11">
        <f t="shared" si="104"/>
        <v>3093330</v>
      </c>
      <c r="Q355" s="11">
        <f t="shared" si="98"/>
        <v>33818009</v>
      </c>
      <c r="R355" s="11">
        <f t="shared" si="105"/>
        <v>2850000</v>
      </c>
      <c r="S355" s="184"/>
      <c r="T355" s="184"/>
      <c r="U355" s="184"/>
      <c r="V355" s="184"/>
      <c r="W355" s="184"/>
      <c r="X355" s="184"/>
      <c r="Y355" s="184"/>
      <c r="Z355" s="184"/>
      <c r="AA355" s="184"/>
    </row>
    <row r="356" spans="1:27" s="70" customFormat="1" x14ac:dyDescent="0.25">
      <c r="A356" s="99" t="s">
        <v>672</v>
      </c>
      <c r="B356" s="1" t="s">
        <v>673</v>
      </c>
      <c r="C356" s="11">
        <v>0</v>
      </c>
      <c r="D356" s="11">
        <v>0</v>
      </c>
      <c r="E356" s="11">
        <v>0</v>
      </c>
      <c r="F356" s="11">
        <v>0</v>
      </c>
      <c r="G356" s="11"/>
      <c r="H356" s="11">
        <v>0</v>
      </c>
      <c r="I356" s="11">
        <v>2064400</v>
      </c>
      <c r="J356" s="11">
        <f t="shared" si="97"/>
        <v>2064400</v>
      </c>
      <c r="K356" s="11">
        <v>2064400</v>
      </c>
      <c r="L356" s="10">
        <f t="shared" si="99"/>
        <v>0</v>
      </c>
      <c r="M356" s="11">
        <v>2064400</v>
      </c>
      <c r="N356" s="11">
        <v>0</v>
      </c>
      <c r="O356" s="11">
        <v>2064400</v>
      </c>
      <c r="P356" s="11">
        <f t="shared" si="104"/>
        <v>0</v>
      </c>
      <c r="Q356" s="11">
        <f t="shared" si="98"/>
        <v>2064400</v>
      </c>
      <c r="R356" s="11">
        <f t="shared" si="105"/>
        <v>0</v>
      </c>
      <c r="S356" s="184"/>
      <c r="T356" s="184"/>
      <c r="U356" s="184"/>
      <c r="V356" s="184"/>
      <c r="W356" s="184"/>
      <c r="X356" s="184"/>
      <c r="Y356" s="184"/>
      <c r="Z356" s="184"/>
      <c r="AA356" s="184"/>
    </row>
    <row r="357" spans="1:27" s="70" customFormat="1" x14ac:dyDescent="0.25">
      <c r="A357" s="99" t="s">
        <v>674</v>
      </c>
      <c r="B357" s="1" t="s">
        <v>675</v>
      </c>
      <c r="C357" s="11">
        <v>0</v>
      </c>
      <c r="D357" s="11">
        <v>0</v>
      </c>
      <c r="E357" s="11">
        <v>0</v>
      </c>
      <c r="F357" s="11">
        <v>0</v>
      </c>
      <c r="G357" s="11"/>
      <c r="H357" s="11">
        <v>0</v>
      </c>
      <c r="I357" s="11">
        <v>230000</v>
      </c>
      <c r="J357" s="11">
        <f t="shared" si="97"/>
        <v>230000</v>
      </c>
      <c r="K357" s="11">
        <v>230000</v>
      </c>
      <c r="L357" s="10">
        <f t="shared" si="99"/>
        <v>0</v>
      </c>
      <c r="M357" s="11">
        <v>230000</v>
      </c>
      <c r="N357" s="11">
        <v>0</v>
      </c>
      <c r="O357" s="11">
        <v>230000</v>
      </c>
      <c r="P357" s="11">
        <f t="shared" si="104"/>
        <v>0</v>
      </c>
      <c r="Q357" s="11">
        <f t="shared" si="98"/>
        <v>230000</v>
      </c>
      <c r="R357" s="11">
        <f t="shared" si="105"/>
        <v>0</v>
      </c>
      <c r="S357" s="184"/>
      <c r="T357" s="184"/>
      <c r="U357" s="184"/>
      <c r="V357" s="184"/>
      <c r="W357" s="184"/>
      <c r="X357" s="184"/>
      <c r="Y357" s="184"/>
      <c r="Z357" s="184"/>
      <c r="AA357" s="184"/>
    </row>
    <row r="358" spans="1:27" s="70" customFormat="1" x14ac:dyDescent="0.25">
      <c r="A358" s="99" t="s">
        <v>676</v>
      </c>
      <c r="B358" s="1" t="s">
        <v>677</v>
      </c>
      <c r="C358" s="11">
        <v>0</v>
      </c>
      <c r="D358" s="11">
        <v>0</v>
      </c>
      <c r="E358" s="11">
        <v>0</v>
      </c>
      <c r="F358" s="11">
        <v>0</v>
      </c>
      <c r="G358" s="11"/>
      <c r="H358" s="11">
        <v>0</v>
      </c>
      <c r="I358" s="11">
        <v>27490178</v>
      </c>
      <c r="J358" s="11">
        <f t="shared" si="97"/>
        <v>27490178</v>
      </c>
      <c r="K358" s="11">
        <v>25500587</v>
      </c>
      <c r="L358" s="10">
        <f t="shared" si="99"/>
        <v>1989591</v>
      </c>
      <c r="M358" s="11">
        <v>25500587</v>
      </c>
      <c r="N358" s="11">
        <v>0</v>
      </c>
      <c r="O358" s="11">
        <v>25500587</v>
      </c>
      <c r="P358" s="11">
        <f t="shared" si="104"/>
        <v>1989591</v>
      </c>
      <c r="Q358" s="11">
        <f t="shared" si="98"/>
        <v>25500587</v>
      </c>
      <c r="R358" s="11">
        <f t="shared" si="105"/>
        <v>0</v>
      </c>
      <c r="S358" s="184"/>
      <c r="T358" s="184"/>
      <c r="U358" s="184"/>
      <c r="V358" s="184"/>
      <c r="W358" s="184"/>
      <c r="X358" s="184"/>
      <c r="Y358" s="184"/>
      <c r="Z358" s="184"/>
      <c r="AA358" s="184"/>
    </row>
    <row r="359" spans="1:27" s="70" customFormat="1" x14ac:dyDescent="0.25">
      <c r="A359" s="99" t="s">
        <v>678</v>
      </c>
      <c r="B359" s="1" t="s">
        <v>679</v>
      </c>
      <c r="C359" s="11">
        <v>0</v>
      </c>
      <c r="D359" s="11">
        <v>0</v>
      </c>
      <c r="E359" s="11">
        <v>0</v>
      </c>
      <c r="F359" s="11">
        <v>0</v>
      </c>
      <c r="G359" s="11"/>
      <c r="H359" s="11">
        <v>0</v>
      </c>
      <c r="I359" s="11">
        <v>156138860</v>
      </c>
      <c r="J359" s="11">
        <f t="shared" si="97"/>
        <v>156138860</v>
      </c>
      <c r="K359" s="11">
        <v>155195887</v>
      </c>
      <c r="L359" s="10">
        <f t="shared" si="99"/>
        <v>942973</v>
      </c>
      <c r="M359" s="11">
        <v>155195887</v>
      </c>
      <c r="N359" s="11">
        <v>0</v>
      </c>
      <c r="O359" s="11">
        <v>155195887</v>
      </c>
      <c r="P359" s="11">
        <f t="shared" si="104"/>
        <v>942973</v>
      </c>
      <c r="Q359" s="11">
        <f t="shared" si="98"/>
        <v>155195887</v>
      </c>
      <c r="R359" s="11">
        <f t="shared" si="105"/>
        <v>0</v>
      </c>
      <c r="S359" s="184"/>
      <c r="T359" s="184"/>
      <c r="U359" s="184"/>
      <c r="V359" s="184"/>
      <c r="W359" s="184"/>
      <c r="X359" s="184"/>
      <c r="Y359" s="184"/>
      <c r="Z359" s="184"/>
      <c r="AA359" s="184"/>
    </row>
    <row r="360" spans="1:27" s="70" customFormat="1" x14ac:dyDescent="0.25">
      <c r="A360" s="99" t="s">
        <v>680</v>
      </c>
      <c r="B360" s="1" t="s">
        <v>681</v>
      </c>
      <c r="C360" s="11">
        <v>0</v>
      </c>
      <c r="D360" s="11">
        <v>0</v>
      </c>
      <c r="E360" s="11">
        <v>0</v>
      </c>
      <c r="F360" s="11">
        <v>0</v>
      </c>
      <c r="G360" s="11"/>
      <c r="H360" s="11">
        <v>0</v>
      </c>
      <c r="I360" s="11">
        <v>4000000</v>
      </c>
      <c r="J360" s="11">
        <f t="shared" si="97"/>
        <v>4000000</v>
      </c>
      <c r="K360" s="11">
        <v>4000000</v>
      </c>
      <c r="L360" s="10">
        <f t="shared" si="99"/>
        <v>0</v>
      </c>
      <c r="M360" s="11">
        <v>4000000</v>
      </c>
      <c r="N360" s="11">
        <v>0</v>
      </c>
      <c r="O360" s="11">
        <v>4000000</v>
      </c>
      <c r="P360" s="11">
        <f t="shared" si="104"/>
        <v>0</v>
      </c>
      <c r="Q360" s="11">
        <f t="shared" si="98"/>
        <v>4000000</v>
      </c>
      <c r="R360" s="11">
        <f t="shared" si="105"/>
        <v>0</v>
      </c>
      <c r="S360" s="184"/>
      <c r="T360" s="184"/>
      <c r="U360" s="184"/>
      <c r="V360" s="184"/>
      <c r="W360" s="184"/>
      <c r="X360" s="184"/>
      <c r="Y360" s="184"/>
      <c r="Z360" s="184"/>
      <c r="AA360" s="184"/>
    </row>
    <row r="361" spans="1:27" s="70" customFormat="1" x14ac:dyDescent="0.25">
      <c r="A361" s="99" t="s">
        <v>682</v>
      </c>
      <c r="B361" s="1" t="s">
        <v>683</v>
      </c>
      <c r="C361" s="11">
        <v>0</v>
      </c>
      <c r="D361" s="11">
        <v>0</v>
      </c>
      <c r="E361" s="11">
        <v>0</v>
      </c>
      <c r="F361" s="11">
        <v>0</v>
      </c>
      <c r="G361" s="11"/>
      <c r="H361" s="11">
        <v>0</v>
      </c>
      <c r="I361" s="11">
        <v>104159860</v>
      </c>
      <c r="J361" s="11">
        <f t="shared" si="97"/>
        <v>104159860</v>
      </c>
      <c r="K361" s="11">
        <v>56925587</v>
      </c>
      <c r="L361" s="10">
        <f t="shared" si="99"/>
        <v>47234273</v>
      </c>
      <c r="M361" s="11">
        <v>56925587</v>
      </c>
      <c r="N361" s="11">
        <v>0</v>
      </c>
      <c r="O361" s="11">
        <v>56925587</v>
      </c>
      <c r="P361" s="11">
        <f t="shared" si="104"/>
        <v>47234273</v>
      </c>
      <c r="Q361" s="11">
        <f t="shared" si="98"/>
        <v>56925587</v>
      </c>
      <c r="R361" s="11">
        <f t="shared" si="105"/>
        <v>0</v>
      </c>
      <c r="S361" s="184"/>
      <c r="T361" s="184"/>
      <c r="U361" s="184"/>
      <c r="V361" s="184"/>
      <c r="W361" s="184"/>
      <c r="X361" s="184"/>
      <c r="Y361" s="184"/>
      <c r="Z361" s="184"/>
      <c r="AA361" s="184"/>
    </row>
    <row r="362" spans="1:27" s="70" customFormat="1" x14ac:dyDescent="0.25">
      <c r="A362" s="99" t="s">
        <v>684</v>
      </c>
      <c r="B362" s="1" t="s">
        <v>685</v>
      </c>
      <c r="C362" s="11">
        <v>0</v>
      </c>
      <c r="D362" s="11">
        <v>0</v>
      </c>
      <c r="E362" s="11">
        <v>0</v>
      </c>
      <c r="F362" s="11">
        <v>0</v>
      </c>
      <c r="G362" s="11"/>
      <c r="H362" s="11">
        <v>0</v>
      </c>
      <c r="I362" s="11">
        <v>563607240</v>
      </c>
      <c r="J362" s="11">
        <f t="shared" si="97"/>
        <v>563607240</v>
      </c>
      <c r="K362" s="11">
        <v>552391540</v>
      </c>
      <c r="L362" s="10">
        <f t="shared" si="99"/>
        <v>11215700</v>
      </c>
      <c r="M362" s="11">
        <v>552391540</v>
      </c>
      <c r="N362" s="11">
        <v>0</v>
      </c>
      <c r="O362" s="11">
        <v>552391540</v>
      </c>
      <c r="P362" s="11">
        <f t="shared" si="104"/>
        <v>11215700</v>
      </c>
      <c r="Q362" s="11">
        <f t="shared" si="98"/>
        <v>552391540</v>
      </c>
      <c r="R362" s="11">
        <f t="shared" si="105"/>
        <v>0</v>
      </c>
      <c r="S362" s="184"/>
      <c r="T362" s="184"/>
      <c r="U362" s="184"/>
      <c r="V362" s="184"/>
      <c r="W362" s="184"/>
      <c r="X362" s="184"/>
      <c r="Y362" s="184"/>
      <c r="Z362" s="184"/>
      <c r="AA362" s="184"/>
    </row>
    <row r="363" spans="1:27" s="70" customFormat="1" x14ac:dyDescent="0.25">
      <c r="A363" s="99" t="s">
        <v>686</v>
      </c>
      <c r="B363" s="1" t="s">
        <v>687</v>
      </c>
      <c r="C363" s="11">
        <v>0</v>
      </c>
      <c r="D363" s="11">
        <v>0</v>
      </c>
      <c r="E363" s="11">
        <v>0</v>
      </c>
      <c r="F363" s="11">
        <v>0</v>
      </c>
      <c r="G363" s="11"/>
      <c r="H363" s="11">
        <v>0</v>
      </c>
      <c r="I363" s="11">
        <v>167999940</v>
      </c>
      <c r="J363" s="11">
        <f t="shared" si="97"/>
        <v>167999940</v>
      </c>
      <c r="K363" s="11">
        <v>167999940</v>
      </c>
      <c r="L363" s="10">
        <f t="shared" si="99"/>
        <v>0</v>
      </c>
      <c r="M363" s="11">
        <v>16000000</v>
      </c>
      <c r="N363" s="11">
        <v>167999940</v>
      </c>
      <c r="O363" s="11">
        <v>167999940</v>
      </c>
      <c r="P363" s="11">
        <f t="shared" si="104"/>
        <v>0</v>
      </c>
      <c r="Q363" s="11">
        <f t="shared" si="98"/>
        <v>16000000</v>
      </c>
      <c r="R363" s="11">
        <f t="shared" si="105"/>
        <v>151999940</v>
      </c>
      <c r="S363" s="184"/>
      <c r="T363" s="184"/>
      <c r="U363" s="184"/>
      <c r="V363" s="184"/>
      <c r="W363" s="184"/>
      <c r="X363" s="184"/>
      <c r="Y363" s="184"/>
      <c r="Z363" s="184"/>
      <c r="AA363" s="184"/>
    </row>
    <row r="364" spans="1:27" s="70" customFormat="1" x14ac:dyDescent="0.25">
      <c r="A364" s="99" t="s">
        <v>688</v>
      </c>
      <c r="B364" s="1" t="s">
        <v>689</v>
      </c>
      <c r="C364" s="11">
        <v>0</v>
      </c>
      <c r="D364" s="11">
        <v>0</v>
      </c>
      <c r="E364" s="11">
        <v>0</v>
      </c>
      <c r="F364" s="11">
        <v>0</v>
      </c>
      <c r="G364" s="11"/>
      <c r="H364" s="11">
        <v>0</v>
      </c>
      <c r="I364" s="11">
        <v>60037335</v>
      </c>
      <c r="J364" s="11">
        <f t="shared" si="97"/>
        <v>60037335</v>
      </c>
      <c r="K364" s="11">
        <v>52532281</v>
      </c>
      <c r="L364" s="10">
        <f t="shared" si="99"/>
        <v>7505054</v>
      </c>
      <c r="M364" s="11">
        <f>33857281+15833000</f>
        <v>49690281</v>
      </c>
      <c r="N364" s="11">
        <v>18675000</v>
      </c>
      <c r="O364" s="11">
        <v>52532281</v>
      </c>
      <c r="P364" s="11">
        <f t="shared" si="104"/>
        <v>7505054</v>
      </c>
      <c r="Q364" s="11">
        <f t="shared" si="98"/>
        <v>49690281</v>
      </c>
      <c r="R364" s="11">
        <f t="shared" si="105"/>
        <v>2842000</v>
      </c>
      <c r="S364" s="184"/>
      <c r="T364" s="184"/>
      <c r="U364" s="184"/>
      <c r="V364" s="184"/>
      <c r="W364" s="184"/>
      <c r="X364" s="184"/>
      <c r="Y364" s="184"/>
      <c r="Z364" s="184"/>
      <c r="AA364" s="184"/>
    </row>
    <row r="365" spans="1:27" s="70" customFormat="1" x14ac:dyDescent="0.25">
      <c r="A365" s="99" t="s">
        <v>690</v>
      </c>
      <c r="B365" s="1" t="s">
        <v>691</v>
      </c>
      <c r="C365" s="11">
        <v>0</v>
      </c>
      <c r="D365" s="11">
        <v>0</v>
      </c>
      <c r="E365" s="11">
        <v>0</v>
      </c>
      <c r="F365" s="11">
        <v>0</v>
      </c>
      <c r="G365" s="11"/>
      <c r="H365" s="11">
        <v>0</v>
      </c>
      <c r="I365" s="11">
        <v>150999775</v>
      </c>
      <c r="J365" s="11">
        <f t="shared" si="97"/>
        <v>150999775</v>
      </c>
      <c r="K365" s="11">
        <v>134403831</v>
      </c>
      <c r="L365" s="10">
        <f t="shared" si="99"/>
        <v>16595944</v>
      </c>
      <c r="M365" s="11">
        <v>134403831</v>
      </c>
      <c r="N365" s="11">
        <v>0</v>
      </c>
      <c r="O365" s="11">
        <v>134403831</v>
      </c>
      <c r="P365" s="11">
        <f t="shared" si="104"/>
        <v>16595944</v>
      </c>
      <c r="Q365" s="11">
        <f t="shared" si="98"/>
        <v>134403831</v>
      </c>
      <c r="R365" s="11">
        <f t="shared" si="105"/>
        <v>0</v>
      </c>
      <c r="S365" s="184"/>
      <c r="T365" s="184"/>
      <c r="U365" s="184"/>
      <c r="V365" s="184"/>
      <c r="W365" s="184"/>
      <c r="X365" s="184"/>
      <c r="Y365" s="184"/>
      <c r="Z365" s="184"/>
      <c r="AA365" s="184"/>
    </row>
    <row r="366" spans="1:27" s="70" customFormat="1" x14ac:dyDescent="0.25">
      <c r="A366" s="99" t="s">
        <v>692</v>
      </c>
      <c r="B366" s="1" t="s">
        <v>693</v>
      </c>
      <c r="C366" s="11">
        <v>0</v>
      </c>
      <c r="D366" s="11">
        <v>0</v>
      </c>
      <c r="E366" s="11">
        <v>0</v>
      </c>
      <c r="F366" s="11">
        <v>0</v>
      </c>
      <c r="G366" s="11"/>
      <c r="H366" s="11">
        <v>0</v>
      </c>
      <c r="I366" s="11">
        <v>12633695</v>
      </c>
      <c r="J366" s="11">
        <f t="shared" si="97"/>
        <v>12633695</v>
      </c>
      <c r="K366" s="11">
        <v>12633695</v>
      </c>
      <c r="L366" s="10">
        <f t="shared" si="99"/>
        <v>0</v>
      </c>
      <c r="M366" s="11">
        <v>12633695</v>
      </c>
      <c r="N366" s="11">
        <v>0</v>
      </c>
      <c r="O366" s="11">
        <v>12633695</v>
      </c>
      <c r="P366" s="11">
        <f t="shared" si="104"/>
        <v>0</v>
      </c>
      <c r="Q366" s="11">
        <f t="shared" si="98"/>
        <v>12633695</v>
      </c>
      <c r="R366" s="11">
        <f t="shared" si="105"/>
        <v>0</v>
      </c>
      <c r="S366" s="184"/>
      <c r="T366" s="184"/>
      <c r="U366" s="184"/>
      <c r="V366" s="184"/>
      <c r="W366" s="184"/>
      <c r="X366" s="184"/>
      <c r="Y366" s="184"/>
      <c r="Z366" s="184"/>
      <c r="AA366" s="184"/>
    </row>
    <row r="367" spans="1:27" s="183" customFormat="1" x14ac:dyDescent="0.25">
      <c r="A367" s="4" t="s">
        <v>694</v>
      </c>
      <c r="B367" s="5" t="s">
        <v>695</v>
      </c>
      <c r="C367" s="10">
        <f>+C368</f>
        <v>0</v>
      </c>
      <c r="D367" s="10">
        <f t="shared" ref="D367:R367" si="106">+D368</f>
        <v>0</v>
      </c>
      <c r="E367" s="10">
        <f t="shared" si="106"/>
        <v>0</v>
      </c>
      <c r="F367" s="10">
        <f t="shared" si="106"/>
        <v>0</v>
      </c>
      <c r="G367" s="10">
        <f t="shared" si="106"/>
        <v>0</v>
      </c>
      <c r="H367" s="10">
        <f t="shared" si="106"/>
        <v>0</v>
      </c>
      <c r="I367" s="10">
        <f t="shared" si="106"/>
        <v>3121848871</v>
      </c>
      <c r="J367" s="10">
        <f t="shared" si="106"/>
        <v>3121848871</v>
      </c>
      <c r="K367" s="10">
        <f t="shared" si="106"/>
        <v>1092224542</v>
      </c>
      <c r="L367" s="10">
        <f t="shared" si="99"/>
        <v>2029624329</v>
      </c>
      <c r="M367" s="10">
        <f t="shared" si="106"/>
        <v>516924795</v>
      </c>
      <c r="N367" s="10">
        <f t="shared" si="106"/>
        <v>546457747</v>
      </c>
      <c r="O367" s="10">
        <f t="shared" si="106"/>
        <v>1092224542</v>
      </c>
      <c r="P367" s="10">
        <f t="shared" si="106"/>
        <v>2029624329</v>
      </c>
      <c r="Q367" s="10">
        <f t="shared" si="106"/>
        <v>516924795</v>
      </c>
      <c r="R367" s="10">
        <f t="shared" si="106"/>
        <v>575299747</v>
      </c>
      <c r="S367" s="184"/>
      <c r="T367" s="184"/>
      <c r="U367" s="184"/>
      <c r="V367" s="184"/>
      <c r="W367" s="184"/>
      <c r="X367" s="184"/>
      <c r="Y367" s="184"/>
      <c r="Z367" s="184"/>
      <c r="AA367" s="184"/>
    </row>
    <row r="368" spans="1:27" s="183" customFormat="1" x14ac:dyDescent="0.25">
      <c r="A368" s="4" t="s">
        <v>696</v>
      </c>
      <c r="B368" s="5" t="s">
        <v>697</v>
      </c>
      <c r="C368" s="10">
        <f>SUM(C369:C372)</f>
        <v>0</v>
      </c>
      <c r="D368" s="10">
        <f t="shared" ref="D368:R368" si="107">SUM(D369:D372)</f>
        <v>0</v>
      </c>
      <c r="E368" s="10">
        <f t="shared" si="107"/>
        <v>0</v>
      </c>
      <c r="F368" s="10">
        <f t="shared" si="107"/>
        <v>0</v>
      </c>
      <c r="G368" s="10">
        <f t="shared" si="107"/>
        <v>0</v>
      </c>
      <c r="H368" s="10">
        <f t="shared" si="107"/>
        <v>0</v>
      </c>
      <c r="I368" s="10">
        <f t="shared" si="107"/>
        <v>3121848871</v>
      </c>
      <c r="J368" s="10">
        <f t="shared" si="107"/>
        <v>3121848871</v>
      </c>
      <c r="K368" s="10">
        <f t="shared" si="107"/>
        <v>1092224542</v>
      </c>
      <c r="L368" s="10">
        <f t="shared" si="99"/>
        <v>2029624329</v>
      </c>
      <c r="M368" s="10">
        <f t="shared" si="107"/>
        <v>516924795</v>
      </c>
      <c r="N368" s="10">
        <f t="shared" si="107"/>
        <v>546457747</v>
      </c>
      <c r="O368" s="10">
        <f t="shared" si="107"/>
        <v>1092224542</v>
      </c>
      <c r="P368" s="10">
        <f t="shared" si="107"/>
        <v>2029624329</v>
      </c>
      <c r="Q368" s="10">
        <f t="shared" si="107"/>
        <v>516924795</v>
      </c>
      <c r="R368" s="10">
        <f t="shared" si="107"/>
        <v>575299747</v>
      </c>
      <c r="S368" s="184"/>
      <c r="T368" s="184"/>
      <c r="U368" s="184"/>
      <c r="V368" s="184"/>
      <c r="W368" s="184"/>
      <c r="X368" s="184"/>
      <c r="Y368" s="184"/>
      <c r="Z368" s="184"/>
      <c r="AA368" s="184"/>
    </row>
    <row r="369" spans="1:27" s="70" customFormat="1" x14ac:dyDescent="0.25">
      <c r="A369" s="99" t="s">
        <v>698</v>
      </c>
      <c r="B369" s="1" t="s">
        <v>699</v>
      </c>
      <c r="C369" s="11">
        <v>0</v>
      </c>
      <c r="D369" s="11">
        <v>0</v>
      </c>
      <c r="E369" s="11">
        <v>0</v>
      </c>
      <c r="F369" s="11">
        <v>0</v>
      </c>
      <c r="G369" s="11"/>
      <c r="H369" s="11">
        <v>0</v>
      </c>
      <c r="I369" s="11">
        <v>2003728988</v>
      </c>
      <c r="J369" s="11">
        <f t="shared" si="97"/>
        <v>2003728988</v>
      </c>
      <c r="K369" s="11">
        <v>0</v>
      </c>
      <c r="L369" s="10">
        <f t="shared" si="99"/>
        <v>2003728988</v>
      </c>
      <c r="M369" s="11">
        <v>0</v>
      </c>
      <c r="N369" s="11">
        <v>0</v>
      </c>
      <c r="O369" s="11">
        <v>0</v>
      </c>
      <c r="P369" s="11">
        <f>+J369-O369</f>
        <v>2003728988</v>
      </c>
      <c r="Q369" s="11">
        <f t="shared" si="98"/>
        <v>0</v>
      </c>
      <c r="R369" s="11">
        <f>+K369-M369</f>
        <v>0</v>
      </c>
      <c r="S369" s="184"/>
      <c r="T369" s="184"/>
      <c r="U369" s="184"/>
      <c r="V369" s="184"/>
      <c r="W369" s="184"/>
      <c r="X369" s="184"/>
      <c r="Y369" s="184"/>
      <c r="Z369" s="184"/>
      <c r="AA369" s="184"/>
    </row>
    <row r="370" spans="1:27" s="70" customFormat="1" x14ac:dyDescent="0.25">
      <c r="A370" s="99" t="s">
        <v>700</v>
      </c>
      <c r="B370" s="1" t="s">
        <v>701</v>
      </c>
      <c r="C370" s="11">
        <v>0</v>
      </c>
      <c r="D370" s="11">
        <v>0</v>
      </c>
      <c r="E370" s="11">
        <v>0</v>
      </c>
      <c r="F370" s="11">
        <v>0</v>
      </c>
      <c r="G370" s="11"/>
      <c r="H370" s="11">
        <v>0</v>
      </c>
      <c r="I370" s="11">
        <v>1114084883</v>
      </c>
      <c r="J370" s="11">
        <f t="shared" si="97"/>
        <v>1114084883</v>
      </c>
      <c r="K370" s="11">
        <v>1092224542</v>
      </c>
      <c r="L370" s="10">
        <f t="shared" si="99"/>
        <v>21860341</v>
      </c>
      <c r="M370" s="11">
        <f>545766795+7158000-36000000</f>
        <v>516924795</v>
      </c>
      <c r="N370" s="11">
        <v>546457747</v>
      </c>
      <c r="O370" s="11">
        <v>1092224542</v>
      </c>
      <c r="P370" s="11">
        <f>+J370-O370</f>
        <v>21860341</v>
      </c>
      <c r="Q370" s="11">
        <f t="shared" si="98"/>
        <v>516924795</v>
      </c>
      <c r="R370" s="11">
        <f>+K370-M370</f>
        <v>575299747</v>
      </c>
      <c r="S370" s="184"/>
      <c r="T370" s="184"/>
      <c r="U370" s="184"/>
      <c r="V370" s="184"/>
      <c r="W370" s="184"/>
      <c r="X370" s="184"/>
      <c r="Y370" s="184"/>
      <c r="Z370" s="184"/>
      <c r="AA370" s="184"/>
    </row>
    <row r="371" spans="1:27" s="70" customFormat="1" x14ac:dyDescent="0.25">
      <c r="A371" s="99" t="s">
        <v>702</v>
      </c>
      <c r="B371" s="1" t="s">
        <v>671</v>
      </c>
      <c r="C371" s="11">
        <v>0</v>
      </c>
      <c r="D371" s="11">
        <v>0</v>
      </c>
      <c r="E371" s="11">
        <v>0</v>
      </c>
      <c r="F371" s="11">
        <v>0</v>
      </c>
      <c r="G371" s="11"/>
      <c r="H371" s="11">
        <v>0</v>
      </c>
      <c r="I371" s="11">
        <v>1000000</v>
      </c>
      <c r="J371" s="11">
        <f t="shared" si="97"/>
        <v>1000000</v>
      </c>
      <c r="K371" s="11">
        <v>0</v>
      </c>
      <c r="L371" s="10">
        <f t="shared" si="99"/>
        <v>1000000</v>
      </c>
      <c r="M371" s="11">
        <v>0</v>
      </c>
      <c r="N371" s="11">
        <v>0</v>
      </c>
      <c r="O371" s="11">
        <v>0</v>
      </c>
      <c r="P371" s="11">
        <f>+J371-O371</f>
        <v>1000000</v>
      </c>
      <c r="Q371" s="11">
        <f t="shared" si="98"/>
        <v>0</v>
      </c>
      <c r="R371" s="11">
        <f>+K371-M371</f>
        <v>0</v>
      </c>
      <c r="S371" s="184"/>
      <c r="T371" s="184"/>
      <c r="U371" s="184"/>
      <c r="V371" s="184"/>
      <c r="W371" s="184"/>
      <c r="X371" s="184"/>
      <c r="Y371" s="184"/>
      <c r="Z371" s="184"/>
      <c r="AA371" s="184"/>
    </row>
    <row r="372" spans="1:27" s="70" customFormat="1" x14ac:dyDescent="0.25">
      <c r="A372" s="139" t="s">
        <v>703</v>
      </c>
      <c r="B372" s="24" t="s">
        <v>704</v>
      </c>
      <c r="C372" s="25">
        <v>0</v>
      </c>
      <c r="D372" s="25">
        <v>0</v>
      </c>
      <c r="E372" s="25">
        <v>0</v>
      </c>
      <c r="F372" s="25">
        <v>0</v>
      </c>
      <c r="G372" s="25"/>
      <c r="H372" s="25">
        <v>0</v>
      </c>
      <c r="I372" s="25">
        <v>3035000</v>
      </c>
      <c r="J372" s="25">
        <f t="shared" si="97"/>
        <v>3035000</v>
      </c>
      <c r="K372" s="25">
        <v>0</v>
      </c>
      <c r="L372" s="140">
        <f t="shared" si="99"/>
        <v>3035000</v>
      </c>
      <c r="M372" s="25">
        <v>0</v>
      </c>
      <c r="N372" s="25">
        <v>0</v>
      </c>
      <c r="O372" s="25">
        <v>0</v>
      </c>
      <c r="P372" s="25">
        <f>+J372-O372</f>
        <v>3035000</v>
      </c>
      <c r="Q372" s="25">
        <f t="shared" si="98"/>
        <v>0</v>
      </c>
      <c r="R372" s="25">
        <f>+K372-M372</f>
        <v>0</v>
      </c>
      <c r="S372" s="184"/>
      <c r="T372" s="184"/>
      <c r="U372" s="184"/>
      <c r="V372" s="184"/>
      <c r="W372" s="184"/>
      <c r="X372" s="184"/>
      <c r="Y372" s="184"/>
      <c r="Z372" s="184"/>
      <c r="AA372" s="184"/>
    </row>
    <row r="373" spans="1:27" x14ac:dyDescent="0.25">
      <c r="A373" s="141"/>
      <c r="B373" s="142"/>
      <c r="C373" s="143"/>
      <c r="D373" s="143"/>
      <c r="E373" s="143"/>
      <c r="F373" s="143"/>
      <c r="G373" s="143"/>
      <c r="H373" s="143"/>
      <c r="I373" s="143"/>
      <c r="J373" s="143"/>
      <c r="K373" s="143"/>
      <c r="L373" s="144"/>
      <c r="M373" s="143"/>
      <c r="N373" s="143"/>
      <c r="O373" s="143"/>
      <c r="P373" s="143"/>
      <c r="Q373" s="143"/>
      <c r="R373" s="145"/>
    </row>
    <row r="374" spans="1:27" x14ac:dyDescent="0.25">
      <c r="A374" s="146"/>
      <c r="B374" s="128"/>
      <c r="C374" s="129"/>
      <c r="D374" s="129"/>
      <c r="E374" s="129"/>
      <c r="F374" s="129"/>
      <c r="G374" s="129"/>
      <c r="H374" s="129"/>
      <c r="I374" s="129"/>
      <c r="J374" s="129"/>
      <c r="K374" s="129"/>
      <c r="L374" s="74"/>
      <c r="M374" s="129"/>
      <c r="N374" s="129"/>
      <c r="O374" s="129"/>
      <c r="P374" s="129"/>
      <c r="Q374" s="129"/>
      <c r="R374" s="147"/>
    </row>
    <row r="375" spans="1:27" x14ac:dyDescent="0.25">
      <c r="A375" s="146"/>
      <c r="B375" s="162" t="s">
        <v>847</v>
      </c>
      <c r="C375" s="162"/>
      <c r="D375" s="162"/>
      <c r="E375" s="162"/>
      <c r="F375" s="129"/>
      <c r="G375" s="129"/>
      <c r="H375" s="129"/>
      <c r="I375" s="129"/>
      <c r="J375" s="162" t="s">
        <v>849</v>
      </c>
      <c r="K375" s="162"/>
      <c r="L375" s="162"/>
      <c r="M375" s="162"/>
      <c r="N375" s="129"/>
      <c r="O375" s="129"/>
      <c r="P375" s="129"/>
      <c r="Q375" s="129"/>
      <c r="R375" s="147"/>
    </row>
    <row r="376" spans="1:27" x14ac:dyDescent="0.25">
      <c r="A376" s="146"/>
      <c r="B376" s="163" t="s">
        <v>848</v>
      </c>
      <c r="C376" s="163"/>
      <c r="D376" s="163"/>
      <c r="E376" s="163"/>
      <c r="F376" s="129"/>
      <c r="G376" s="129"/>
      <c r="H376" s="129"/>
      <c r="I376" s="129"/>
      <c r="J376" s="163" t="s">
        <v>850</v>
      </c>
      <c r="K376" s="163"/>
      <c r="L376" s="163"/>
      <c r="M376" s="163"/>
      <c r="N376" s="129"/>
      <c r="O376" s="129"/>
      <c r="P376" s="129"/>
      <c r="Q376" s="129"/>
      <c r="R376" s="147"/>
    </row>
    <row r="377" spans="1:27" x14ac:dyDescent="0.25">
      <c r="A377" s="146"/>
      <c r="B377" s="128"/>
      <c r="C377" s="129"/>
      <c r="D377" s="129"/>
      <c r="E377" s="129"/>
      <c r="F377" s="129"/>
      <c r="G377" s="129"/>
      <c r="H377" s="129"/>
      <c r="I377" s="129"/>
      <c r="J377" s="129"/>
      <c r="K377" s="129"/>
      <c r="L377" s="74"/>
      <c r="M377" s="129"/>
      <c r="N377" s="129"/>
      <c r="O377" s="129"/>
      <c r="P377" s="129"/>
      <c r="Q377" s="129"/>
      <c r="R377" s="147"/>
    </row>
    <row r="378" spans="1:27" x14ac:dyDescent="0.25">
      <c r="A378" s="148"/>
      <c r="B378" s="149"/>
      <c r="C378" s="150"/>
      <c r="D378" s="150"/>
      <c r="E378" s="150"/>
      <c r="F378" s="150"/>
      <c r="G378" s="150"/>
      <c r="H378" s="150"/>
      <c r="I378" s="150"/>
      <c r="J378" s="150"/>
      <c r="K378" s="150"/>
      <c r="L378" s="151"/>
      <c r="M378" s="150"/>
      <c r="N378" s="150"/>
      <c r="O378" s="150"/>
      <c r="P378" s="150"/>
      <c r="Q378" s="150"/>
      <c r="R378" s="152"/>
    </row>
    <row r="379" spans="1:27" ht="60" x14ac:dyDescent="0.25">
      <c r="A379" s="124" t="s">
        <v>832</v>
      </c>
      <c r="B379" s="125" t="s">
        <v>833</v>
      </c>
      <c r="C379" s="124" t="s">
        <v>834</v>
      </c>
      <c r="D379" s="126" t="s">
        <v>835</v>
      </c>
      <c r="E379" s="126" t="s">
        <v>836</v>
      </c>
      <c r="F379" s="126" t="s">
        <v>834</v>
      </c>
      <c r="G379" s="127" t="s">
        <v>837</v>
      </c>
      <c r="H379" s="127" t="s">
        <v>838</v>
      </c>
      <c r="I379" s="137" t="s">
        <v>834</v>
      </c>
      <c r="J379" s="167" t="s">
        <v>839</v>
      </c>
      <c r="K379" s="168"/>
      <c r="L379" s="74"/>
    </row>
    <row r="380" spans="1:27" x14ac:dyDescent="0.25">
      <c r="A380" s="130">
        <f>+J6+J99+J105+J125+J131+J136+J137+J138+J159+J160+J161+J162+J163+J164+J165+J166+J167+J320+J331+J346+J347</f>
        <v>104719596544.58</v>
      </c>
      <c r="B380" s="130">
        <f>+K6+K99+K105+K125+K131+K136+K137+K138+K159+K160+K161+K162+K163+K164+K165+K166+K167+K320+K331+K346+K347</f>
        <v>103916744265.17</v>
      </c>
      <c r="C380" s="116">
        <f>+B380/A380</f>
        <v>0.99233331386004509</v>
      </c>
      <c r="D380" s="109">
        <f>+J139+J222+J223+J308+J350+J351+J352+J362+J363+J364+J365+J366+J369+J370+J372</f>
        <v>53440304457.080002</v>
      </c>
      <c r="E380" s="109">
        <f>+K139+K222+K223+K308+K350+K351+K352+K362+K363+K364+K365+K366+K369+K370+K372</f>
        <v>15871106493.750002</v>
      </c>
      <c r="F380" s="115">
        <f>+E380/D380</f>
        <v>0.29698757623090843</v>
      </c>
      <c r="G380" s="110">
        <f>+J168+J203+J293+J314+J315+J316+J349+J353+J354+J355+J356+J357+J358+J359+J360+J361+J371</f>
        <v>11549606884.449999</v>
      </c>
      <c r="H380" s="110">
        <f>+K168+K203+K293+K314+K315+K316+K349+K353+K354+K355+K356+K357+K358+K359+K360+K361+K371</f>
        <v>8657738877.3299999</v>
      </c>
      <c r="I380" s="138">
        <f>+H380/G380</f>
        <v>0.7496132954089102</v>
      </c>
      <c r="J380" s="169">
        <f>+K5/J5</f>
        <v>0.75685558950797438</v>
      </c>
      <c r="K380" s="170"/>
    </row>
    <row r="381" spans="1:27" x14ac:dyDescent="0.25">
      <c r="A381" s="131"/>
      <c r="B381" s="132"/>
      <c r="C381" s="132"/>
      <c r="D381" s="132"/>
      <c r="E381" s="132"/>
      <c r="F381" s="132"/>
      <c r="G381" s="132"/>
      <c r="H381" s="132"/>
      <c r="I381" s="132"/>
      <c r="J381" s="133"/>
      <c r="K381" s="134"/>
    </row>
    <row r="382" spans="1:27" x14ac:dyDescent="0.25">
      <c r="A382" s="154" t="s">
        <v>845</v>
      </c>
      <c r="B382" s="155"/>
      <c r="C382" s="155"/>
      <c r="D382" s="155"/>
      <c r="E382" s="155"/>
      <c r="F382" s="155"/>
      <c r="G382" s="155"/>
      <c r="H382" s="155"/>
      <c r="I382" s="155"/>
      <c r="J382" s="155"/>
      <c r="K382" s="156"/>
    </row>
    <row r="383" spans="1:27" x14ac:dyDescent="0.25">
      <c r="A383" s="157"/>
      <c r="B383" s="155"/>
      <c r="C383" s="155"/>
      <c r="D383" s="155"/>
      <c r="E383" s="155"/>
      <c r="F383" s="155"/>
      <c r="G383" s="155"/>
      <c r="H383" s="155"/>
      <c r="I383" s="155"/>
      <c r="J383" s="155"/>
      <c r="K383" s="156"/>
    </row>
    <row r="384" spans="1:27" x14ac:dyDescent="0.25">
      <c r="A384" s="157"/>
      <c r="B384" s="155"/>
      <c r="C384" s="155"/>
      <c r="D384" s="155"/>
      <c r="E384" s="155"/>
      <c r="F384" s="155"/>
      <c r="G384" s="155"/>
      <c r="H384" s="155"/>
      <c r="I384" s="155"/>
      <c r="J384" s="155"/>
      <c r="K384" s="156"/>
    </row>
    <row r="385" spans="1:11" x14ac:dyDescent="0.25">
      <c r="A385" s="135"/>
      <c r="B385" s="113"/>
      <c r="C385" s="113"/>
      <c r="D385" s="113"/>
      <c r="E385" s="113"/>
      <c r="F385" s="113"/>
      <c r="G385" s="113"/>
      <c r="H385" s="113"/>
      <c r="I385" s="113"/>
      <c r="J385" s="128"/>
      <c r="K385" s="136"/>
    </row>
    <row r="386" spans="1:11" x14ac:dyDescent="0.25">
      <c r="A386" s="158" t="s">
        <v>846</v>
      </c>
      <c r="B386" s="155"/>
      <c r="C386" s="155"/>
      <c r="D386" s="155"/>
      <c r="E386" s="155"/>
      <c r="F386" s="155"/>
      <c r="G386" s="155"/>
      <c r="H386" s="155"/>
      <c r="I386" s="155"/>
      <c r="J386" s="155"/>
      <c r="K386" s="156"/>
    </row>
    <row r="387" spans="1:11" x14ac:dyDescent="0.25">
      <c r="A387" s="159"/>
      <c r="B387" s="160"/>
      <c r="C387" s="160"/>
      <c r="D387" s="160"/>
      <c r="E387" s="160"/>
      <c r="F387" s="160"/>
      <c r="G387" s="160"/>
      <c r="H387" s="160"/>
      <c r="I387" s="160"/>
      <c r="J387" s="160"/>
      <c r="K387" s="161"/>
    </row>
    <row r="388" spans="1:11" x14ac:dyDescent="0.25">
      <c r="A388" s="111"/>
      <c r="B388" s="113"/>
      <c r="C388" s="113"/>
      <c r="D388" s="113"/>
      <c r="E388" s="113"/>
      <c r="F388" s="113"/>
      <c r="G388" s="113"/>
      <c r="H388" s="113"/>
      <c r="I388" s="113"/>
      <c r="J388"/>
      <c r="K388"/>
    </row>
    <row r="389" spans="1:11" x14ac:dyDescent="0.25">
      <c r="A389" s="111"/>
      <c r="B389" s="113"/>
      <c r="C389" s="113"/>
      <c r="D389" s="113"/>
      <c r="E389" s="113"/>
      <c r="F389" s="113"/>
      <c r="G389" s="113"/>
      <c r="H389" s="113"/>
      <c r="I389" s="113"/>
      <c r="J389"/>
      <c r="K389"/>
    </row>
    <row r="390" spans="1:11" x14ac:dyDescent="0.25">
      <c r="A390" s="153" t="s">
        <v>851</v>
      </c>
      <c r="B390" s="153"/>
      <c r="C390" s="153"/>
      <c r="D390" s="113"/>
      <c r="E390" s="113"/>
      <c r="F390" s="113"/>
      <c r="G390" s="113"/>
      <c r="H390" s="113"/>
      <c r="I390" s="113"/>
      <c r="J390"/>
      <c r="K390"/>
    </row>
    <row r="391" spans="1:11" x14ac:dyDescent="0.25">
      <c r="A391" s="123"/>
      <c r="B391" s="113"/>
      <c r="C391" s="113"/>
      <c r="D391" s="113"/>
      <c r="E391" s="113"/>
      <c r="F391" s="113"/>
      <c r="G391" s="113"/>
      <c r="H391" s="113"/>
      <c r="I391" s="113"/>
      <c r="J391"/>
      <c r="K391"/>
    </row>
  </sheetData>
  <autoFilter ref="A4:R376">
    <sortState ref="A171:R221">
      <sortCondition sortBy="cellColor" ref="L4:L375" dxfId="0"/>
    </sortState>
  </autoFilter>
  <mergeCells count="9">
    <mergeCell ref="J379:K379"/>
    <mergeCell ref="J380:K380"/>
    <mergeCell ref="A390:C390"/>
    <mergeCell ref="A382:K384"/>
    <mergeCell ref="A386:K387"/>
    <mergeCell ref="B375:E375"/>
    <mergeCell ref="B376:E376"/>
    <mergeCell ref="J375:M375"/>
    <mergeCell ref="J376:M376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9"/>
  <sheetViews>
    <sheetView topLeftCell="A171" workbookViewId="0">
      <selection activeCell="G2" sqref="G2:G369"/>
    </sheetView>
  </sheetViews>
  <sheetFormatPr baseColWidth="10" defaultRowHeight="15" x14ac:dyDescent="0.25"/>
  <cols>
    <col min="1" max="1" width="13" bestFit="1" customWidth="1"/>
    <col min="2" max="2" width="39" customWidth="1"/>
    <col min="3" max="3" width="15.140625" bestFit="1" customWidth="1"/>
    <col min="4" max="4" width="10" bestFit="1" customWidth="1"/>
    <col min="5" max="5" width="46.5703125" customWidth="1"/>
    <col min="6" max="6" width="15.42578125" bestFit="1" customWidth="1"/>
    <col min="7" max="7" width="14.85546875" bestFit="1" customWidth="1"/>
  </cols>
  <sheetData>
    <row r="1" spans="1:7" ht="38.25" x14ac:dyDescent="0.25">
      <c r="A1" s="7" t="s">
        <v>0</v>
      </c>
      <c r="B1" s="7" t="s">
        <v>1</v>
      </c>
      <c r="C1" s="8" t="s">
        <v>2</v>
      </c>
      <c r="D1" s="117" t="s">
        <v>0</v>
      </c>
      <c r="E1" s="117" t="s">
        <v>1</v>
      </c>
      <c r="F1" s="118" t="s">
        <v>2</v>
      </c>
    </row>
    <row r="2" spans="1:7" x14ac:dyDescent="0.25">
      <c r="A2" s="4" t="s">
        <v>8</v>
      </c>
      <c r="B2" s="5" t="s">
        <v>9</v>
      </c>
      <c r="C2" s="10">
        <v>137209811235</v>
      </c>
      <c r="D2" s="119">
        <v>0</v>
      </c>
      <c r="E2" s="119" t="s">
        <v>9</v>
      </c>
      <c r="F2" s="120">
        <v>137286811242</v>
      </c>
      <c r="G2" s="15">
        <f>+F2-C2</f>
        <v>77000007</v>
      </c>
    </row>
    <row r="3" spans="1:7" x14ac:dyDescent="0.25">
      <c r="A3" s="4" t="s">
        <v>10</v>
      </c>
      <c r="B3" s="5" t="s">
        <v>11</v>
      </c>
      <c r="C3" s="10">
        <v>96526538401</v>
      </c>
      <c r="D3" s="119">
        <v>3</v>
      </c>
      <c r="E3" s="119" t="s">
        <v>11</v>
      </c>
      <c r="F3" s="120">
        <v>96526538402</v>
      </c>
      <c r="G3" s="15">
        <f t="shared" ref="G3:G66" si="0">+F3-C3</f>
        <v>1</v>
      </c>
    </row>
    <row r="4" spans="1:7" x14ac:dyDescent="0.25">
      <c r="A4" s="4" t="s">
        <v>12</v>
      </c>
      <c r="B4" s="5" t="s">
        <v>13</v>
      </c>
      <c r="C4" s="10">
        <v>89801136107</v>
      </c>
      <c r="D4" s="119">
        <v>320</v>
      </c>
      <c r="E4" s="119" t="s">
        <v>13</v>
      </c>
      <c r="F4" s="120">
        <v>89801136108</v>
      </c>
      <c r="G4" s="15">
        <f t="shared" si="0"/>
        <v>1</v>
      </c>
    </row>
    <row r="5" spans="1:7" x14ac:dyDescent="0.25">
      <c r="A5" s="99" t="s">
        <v>14</v>
      </c>
      <c r="B5" s="1" t="s">
        <v>15</v>
      </c>
      <c r="C5" s="11">
        <v>27654651244</v>
      </c>
      <c r="D5" s="121">
        <v>32001</v>
      </c>
      <c r="E5" s="121" t="s">
        <v>15</v>
      </c>
      <c r="F5" s="122">
        <v>27654651244</v>
      </c>
      <c r="G5" s="15">
        <f t="shared" si="0"/>
        <v>0</v>
      </c>
    </row>
    <row r="6" spans="1:7" x14ac:dyDescent="0.25">
      <c r="A6" s="99" t="s">
        <v>16</v>
      </c>
      <c r="B6" s="1" t="s">
        <v>17</v>
      </c>
      <c r="C6" s="11">
        <v>938175356</v>
      </c>
      <c r="D6" s="121">
        <v>32002</v>
      </c>
      <c r="E6" s="121" t="s">
        <v>17</v>
      </c>
      <c r="F6" s="122">
        <v>938175356</v>
      </c>
      <c r="G6" s="15">
        <f t="shared" si="0"/>
        <v>0</v>
      </c>
    </row>
    <row r="7" spans="1:7" x14ac:dyDescent="0.25">
      <c r="A7" s="4" t="s">
        <v>18</v>
      </c>
      <c r="B7" s="5" t="s">
        <v>19</v>
      </c>
      <c r="C7" s="10">
        <v>26976223392</v>
      </c>
      <c r="D7" s="119">
        <v>32003</v>
      </c>
      <c r="E7" s="119" t="s">
        <v>19</v>
      </c>
      <c r="F7" s="120">
        <v>26976223392</v>
      </c>
      <c r="G7" s="15">
        <f t="shared" si="0"/>
        <v>0</v>
      </c>
    </row>
    <row r="8" spans="1:7" x14ac:dyDescent="0.25">
      <c r="A8" s="99" t="s">
        <v>20</v>
      </c>
      <c r="B8" s="1" t="s">
        <v>21</v>
      </c>
      <c r="C8" s="11">
        <v>10510118483</v>
      </c>
      <c r="D8" s="121">
        <v>3200301</v>
      </c>
      <c r="E8" s="121" t="s">
        <v>21</v>
      </c>
      <c r="F8" s="122">
        <v>10510118483</v>
      </c>
      <c r="G8" s="15">
        <f t="shared" si="0"/>
        <v>0</v>
      </c>
    </row>
    <row r="9" spans="1:7" x14ac:dyDescent="0.25">
      <c r="A9" s="99" t="s">
        <v>22</v>
      </c>
      <c r="B9" s="1" t="s">
        <v>23</v>
      </c>
      <c r="C9" s="11">
        <v>4021563010</v>
      </c>
      <c r="D9" s="121">
        <v>3200302</v>
      </c>
      <c r="E9" s="121" t="s">
        <v>23</v>
      </c>
      <c r="F9" s="122">
        <v>4021563010</v>
      </c>
      <c r="G9" s="15">
        <f t="shared" si="0"/>
        <v>0</v>
      </c>
    </row>
    <row r="10" spans="1:7" x14ac:dyDescent="0.25">
      <c r="A10" s="99" t="s">
        <v>24</v>
      </c>
      <c r="B10" s="1" t="s">
        <v>25</v>
      </c>
      <c r="C10" s="11">
        <v>183377970</v>
      </c>
      <c r="D10" s="121">
        <v>3200303</v>
      </c>
      <c r="E10" s="121" t="s">
        <v>25</v>
      </c>
      <c r="F10" s="122">
        <v>183377970</v>
      </c>
      <c r="G10" s="15">
        <f t="shared" si="0"/>
        <v>0</v>
      </c>
    </row>
    <row r="11" spans="1:7" x14ac:dyDescent="0.25">
      <c r="A11" s="99" t="s">
        <v>26</v>
      </c>
      <c r="B11" s="1" t="s">
        <v>27</v>
      </c>
      <c r="C11" s="11">
        <v>2099782214</v>
      </c>
      <c r="D11" s="121">
        <v>3200304</v>
      </c>
      <c r="E11" s="121" t="s">
        <v>27</v>
      </c>
      <c r="F11" s="122">
        <v>2099782214</v>
      </c>
      <c r="G11" s="15">
        <f t="shared" si="0"/>
        <v>0</v>
      </c>
    </row>
    <row r="12" spans="1:7" x14ac:dyDescent="0.25">
      <c r="A12" s="99" t="s">
        <v>28</v>
      </c>
      <c r="B12" s="1" t="s">
        <v>29</v>
      </c>
      <c r="C12" s="11">
        <v>3095019724</v>
      </c>
      <c r="D12" s="121">
        <v>3200305</v>
      </c>
      <c r="E12" s="121" t="s">
        <v>29</v>
      </c>
      <c r="F12" s="122">
        <v>3095019724</v>
      </c>
      <c r="G12" s="15">
        <f t="shared" si="0"/>
        <v>0</v>
      </c>
    </row>
    <row r="13" spans="1:7" x14ac:dyDescent="0.25">
      <c r="A13" s="99" t="s">
        <v>30</v>
      </c>
      <c r="B13" s="1" t="s">
        <v>31</v>
      </c>
      <c r="C13" s="11">
        <v>2083825</v>
      </c>
      <c r="D13" s="121">
        <v>3200306</v>
      </c>
      <c r="E13" s="121" t="s">
        <v>31</v>
      </c>
      <c r="F13" s="122">
        <v>2083825</v>
      </c>
      <c r="G13" s="15">
        <f t="shared" si="0"/>
        <v>0</v>
      </c>
    </row>
    <row r="14" spans="1:7" x14ac:dyDescent="0.25">
      <c r="A14" s="99" t="s">
        <v>32</v>
      </c>
      <c r="B14" s="1" t="s">
        <v>33</v>
      </c>
      <c r="C14" s="11">
        <v>2000604390</v>
      </c>
      <c r="D14" s="121">
        <v>3200307</v>
      </c>
      <c r="E14" s="121" t="s">
        <v>33</v>
      </c>
      <c r="F14" s="122">
        <v>2000604390</v>
      </c>
      <c r="G14" s="15">
        <f t="shared" si="0"/>
        <v>0</v>
      </c>
    </row>
    <row r="15" spans="1:7" x14ac:dyDescent="0.25">
      <c r="A15" s="99" t="s">
        <v>34</v>
      </c>
      <c r="B15" s="1" t="s">
        <v>35</v>
      </c>
      <c r="C15" s="11">
        <v>288174904</v>
      </c>
      <c r="D15" s="121">
        <v>3200309</v>
      </c>
      <c r="E15" s="121" t="s">
        <v>35</v>
      </c>
      <c r="F15" s="122">
        <v>288174904</v>
      </c>
      <c r="G15" s="15">
        <f t="shared" si="0"/>
        <v>0</v>
      </c>
    </row>
    <row r="16" spans="1:7" x14ac:dyDescent="0.25">
      <c r="A16" s="99" t="s">
        <v>36</v>
      </c>
      <c r="B16" s="1" t="s">
        <v>37</v>
      </c>
      <c r="C16" s="11">
        <v>264627709</v>
      </c>
      <c r="D16" s="121">
        <v>3200310</v>
      </c>
      <c r="E16" s="121" t="s">
        <v>37</v>
      </c>
      <c r="F16" s="122">
        <v>264627709</v>
      </c>
      <c r="G16" s="15">
        <f t="shared" si="0"/>
        <v>0</v>
      </c>
    </row>
    <row r="17" spans="1:7" x14ac:dyDescent="0.25">
      <c r="A17" s="99" t="s">
        <v>38</v>
      </c>
      <c r="B17" s="1" t="s">
        <v>39</v>
      </c>
      <c r="C17" s="11">
        <v>4510871163</v>
      </c>
      <c r="D17" s="121">
        <v>3200311</v>
      </c>
      <c r="E17" s="121" t="s">
        <v>39</v>
      </c>
      <c r="F17" s="122">
        <v>4510871163</v>
      </c>
      <c r="G17" s="15">
        <f t="shared" si="0"/>
        <v>0</v>
      </c>
    </row>
    <row r="18" spans="1:7" x14ac:dyDescent="0.25">
      <c r="A18" s="4" t="s">
        <v>40</v>
      </c>
      <c r="B18" s="5" t="s">
        <v>41</v>
      </c>
      <c r="C18" s="10">
        <v>557162264</v>
      </c>
      <c r="D18" s="119">
        <v>32005</v>
      </c>
      <c r="E18" s="119" t="s">
        <v>41</v>
      </c>
      <c r="F18" s="120">
        <v>557162264</v>
      </c>
      <c r="G18" s="15">
        <f t="shared" si="0"/>
        <v>0</v>
      </c>
    </row>
    <row r="19" spans="1:7" x14ac:dyDescent="0.25">
      <c r="A19" s="99" t="s">
        <v>42</v>
      </c>
      <c r="B19" s="1" t="s">
        <v>43</v>
      </c>
      <c r="C19" s="11">
        <v>557162264</v>
      </c>
      <c r="D19" s="121">
        <v>3200501</v>
      </c>
      <c r="E19" s="121" t="s">
        <v>43</v>
      </c>
      <c r="F19" s="122">
        <v>557162264</v>
      </c>
      <c r="G19" s="15">
        <f t="shared" si="0"/>
        <v>0</v>
      </c>
    </row>
    <row r="20" spans="1:7" x14ac:dyDescent="0.25">
      <c r="A20" s="4" t="s">
        <v>44</v>
      </c>
      <c r="B20" s="5" t="s">
        <v>45</v>
      </c>
      <c r="C20" s="10">
        <v>11494773882</v>
      </c>
      <c r="D20" s="119">
        <v>32006</v>
      </c>
      <c r="E20" s="119" t="s">
        <v>45</v>
      </c>
      <c r="F20" s="120">
        <v>11494773882</v>
      </c>
      <c r="G20" s="15">
        <f t="shared" si="0"/>
        <v>0</v>
      </c>
    </row>
    <row r="21" spans="1:7" x14ac:dyDescent="0.25">
      <c r="A21" s="99" t="s">
        <v>46</v>
      </c>
      <c r="B21" s="1" t="s">
        <v>47</v>
      </c>
      <c r="C21" s="11">
        <v>8523590759</v>
      </c>
      <c r="D21" s="121">
        <v>3200601</v>
      </c>
      <c r="E21" s="121" t="s">
        <v>47</v>
      </c>
      <c r="F21" s="122">
        <v>8523590759</v>
      </c>
      <c r="G21" s="15">
        <f t="shared" si="0"/>
        <v>0</v>
      </c>
    </row>
    <row r="22" spans="1:7" x14ac:dyDescent="0.25">
      <c r="A22" s="99" t="s">
        <v>48</v>
      </c>
      <c r="B22" s="1" t="s">
        <v>49</v>
      </c>
      <c r="C22" s="11">
        <v>2971183123</v>
      </c>
      <c r="D22" s="121">
        <v>3200602</v>
      </c>
      <c r="E22" s="121" t="s">
        <v>49</v>
      </c>
      <c r="F22" s="122">
        <v>2971183123</v>
      </c>
      <c r="G22" s="15">
        <f t="shared" si="0"/>
        <v>0</v>
      </c>
    </row>
    <row r="23" spans="1:7" x14ac:dyDescent="0.25">
      <c r="A23" s="4" t="s">
        <v>50</v>
      </c>
      <c r="B23" s="5" t="s">
        <v>51</v>
      </c>
      <c r="C23" s="10">
        <v>2450626703</v>
      </c>
      <c r="D23" s="119">
        <v>32007</v>
      </c>
      <c r="E23" s="119" t="s">
        <v>51</v>
      </c>
      <c r="F23" s="120">
        <v>2450626703</v>
      </c>
      <c r="G23" s="15">
        <f t="shared" si="0"/>
        <v>0</v>
      </c>
    </row>
    <row r="24" spans="1:7" x14ac:dyDescent="0.25">
      <c r="A24" s="99" t="s">
        <v>52</v>
      </c>
      <c r="B24" s="1" t="s">
        <v>51</v>
      </c>
      <c r="C24" s="11">
        <v>2450626703</v>
      </c>
      <c r="D24" s="121">
        <v>3200701</v>
      </c>
      <c r="E24" s="121" t="s">
        <v>51</v>
      </c>
      <c r="F24" s="122">
        <v>2450626703</v>
      </c>
      <c r="G24" s="15">
        <f t="shared" si="0"/>
        <v>0</v>
      </c>
    </row>
    <row r="25" spans="1:7" x14ac:dyDescent="0.25">
      <c r="A25" s="4" t="s">
        <v>53</v>
      </c>
      <c r="B25" s="5" t="s">
        <v>54</v>
      </c>
      <c r="C25" s="10">
        <v>560935800</v>
      </c>
      <c r="D25" s="119">
        <v>32008</v>
      </c>
      <c r="E25" s="119" t="s">
        <v>54</v>
      </c>
      <c r="F25" s="120">
        <v>560935800</v>
      </c>
      <c r="G25" s="15">
        <f t="shared" si="0"/>
        <v>0</v>
      </c>
    </row>
    <row r="26" spans="1:7" x14ac:dyDescent="0.25">
      <c r="A26" s="99" t="s">
        <v>55</v>
      </c>
      <c r="B26" s="1" t="s">
        <v>56</v>
      </c>
      <c r="C26" s="11">
        <v>505935800</v>
      </c>
      <c r="D26" s="121">
        <v>3200801</v>
      </c>
      <c r="E26" s="121" t="s">
        <v>56</v>
      </c>
      <c r="F26" s="122">
        <v>505935800</v>
      </c>
      <c r="G26" s="15">
        <f t="shared" si="0"/>
        <v>0</v>
      </c>
    </row>
    <row r="27" spans="1:7" x14ac:dyDescent="0.25">
      <c r="A27" s="99" t="s">
        <v>57</v>
      </c>
      <c r="B27" s="1" t="s">
        <v>58</v>
      </c>
      <c r="C27" s="11">
        <v>55000000</v>
      </c>
      <c r="D27" s="121">
        <v>3200802</v>
      </c>
      <c r="E27" s="121" t="s">
        <v>58</v>
      </c>
      <c r="F27" s="122">
        <v>55000000</v>
      </c>
      <c r="G27" s="15">
        <f t="shared" si="0"/>
        <v>0</v>
      </c>
    </row>
    <row r="28" spans="1:7" x14ac:dyDescent="0.25">
      <c r="A28" s="99" t="s">
        <v>59</v>
      </c>
      <c r="B28" s="1" t="s">
        <v>60</v>
      </c>
      <c r="C28" s="11">
        <v>95095000</v>
      </c>
      <c r="D28" s="121">
        <v>32010</v>
      </c>
      <c r="E28" s="121" t="s">
        <v>60</v>
      </c>
      <c r="F28" s="122">
        <v>95095000</v>
      </c>
      <c r="G28" s="15">
        <f t="shared" si="0"/>
        <v>0</v>
      </c>
    </row>
    <row r="29" spans="1:7" x14ac:dyDescent="0.25">
      <c r="A29" s="4" t="s">
        <v>61</v>
      </c>
      <c r="B29" s="5" t="s">
        <v>62</v>
      </c>
      <c r="C29" s="10">
        <v>14852178092</v>
      </c>
      <c r="D29" s="119">
        <v>32012</v>
      </c>
      <c r="E29" s="119" t="s">
        <v>62</v>
      </c>
      <c r="F29" s="120">
        <v>14852178092</v>
      </c>
      <c r="G29" s="15">
        <f t="shared" si="0"/>
        <v>0</v>
      </c>
    </row>
    <row r="30" spans="1:7" x14ac:dyDescent="0.25">
      <c r="A30" s="99" t="s">
        <v>63</v>
      </c>
      <c r="B30" s="1" t="s">
        <v>64</v>
      </c>
      <c r="C30" s="11">
        <v>7652178092</v>
      </c>
      <c r="D30" s="121">
        <v>3201201</v>
      </c>
      <c r="E30" s="121" t="s">
        <v>64</v>
      </c>
      <c r="F30" s="122">
        <v>7652178092</v>
      </c>
      <c r="G30" s="15">
        <f t="shared" si="0"/>
        <v>0</v>
      </c>
    </row>
    <row r="31" spans="1:7" x14ac:dyDescent="0.25">
      <c r="A31" s="99" t="s">
        <v>65</v>
      </c>
      <c r="B31" s="1" t="s">
        <v>66</v>
      </c>
      <c r="C31" s="11">
        <v>7200000000</v>
      </c>
      <c r="D31" s="121">
        <v>3201202</v>
      </c>
      <c r="E31" s="121" t="s">
        <v>66</v>
      </c>
      <c r="F31" s="122">
        <v>7200000000</v>
      </c>
      <c r="G31" s="15">
        <f t="shared" si="0"/>
        <v>0</v>
      </c>
    </row>
    <row r="32" spans="1:7" x14ac:dyDescent="0.25">
      <c r="A32" s="4" t="s">
        <v>67</v>
      </c>
      <c r="B32" s="5" t="s">
        <v>68</v>
      </c>
      <c r="C32" s="10">
        <v>4221314374</v>
      </c>
      <c r="D32" s="119">
        <v>32013</v>
      </c>
      <c r="E32" s="119" t="s">
        <v>840</v>
      </c>
      <c r="F32" s="120">
        <v>4221314375</v>
      </c>
      <c r="G32" s="15">
        <f t="shared" si="0"/>
        <v>1</v>
      </c>
    </row>
    <row r="33" spans="1:7" x14ac:dyDescent="0.25">
      <c r="A33" s="4" t="s">
        <v>69</v>
      </c>
      <c r="B33" s="5" t="s">
        <v>70</v>
      </c>
      <c r="C33" s="10">
        <v>59951562</v>
      </c>
      <c r="D33" s="121">
        <v>3201301</v>
      </c>
      <c r="E33" s="121" t="s">
        <v>70</v>
      </c>
      <c r="F33" s="122">
        <v>59951562</v>
      </c>
      <c r="G33" s="15">
        <f t="shared" si="0"/>
        <v>0</v>
      </c>
    </row>
    <row r="34" spans="1:7" x14ac:dyDescent="0.25">
      <c r="A34" s="99" t="s">
        <v>71</v>
      </c>
      <c r="B34" s="1" t="s">
        <v>72</v>
      </c>
      <c r="C34" s="11">
        <v>24750645</v>
      </c>
      <c r="D34" s="121">
        <v>320130101</v>
      </c>
      <c r="E34" s="121" t="s">
        <v>72</v>
      </c>
      <c r="F34" s="122">
        <v>24750645</v>
      </c>
      <c r="G34" s="15">
        <f t="shared" si="0"/>
        <v>0</v>
      </c>
    </row>
    <row r="35" spans="1:7" x14ac:dyDescent="0.25">
      <c r="A35" s="99" t="s">
        <v>73</v>
      </c>
      <c r="B35" s="1" t="s">
        <v>74</v>
      </c>
      <c r="C35" s="11">
        <v>20625537</v>
      </c>
      <c r="D35" s="121">
        <v>320130102</v>
      </c>
      <c r="E35" s="121" t="s">
        <v>74</v>
      </c>
      <c r="F35" s="122">
        <v>20625537</v>
      </c>
      <c r="G35" s="15">
        <f t="shared" si="0"/>
        <v>0</v>
      </c>
    </row>
    <row r="36" spans="1:7" x14ac:dyDescent="0.25">
      <c r="A36" s="99" t="s">
        <v>75</v>
      </c>
      <c r="B36" s="1" t="s">
        <v>76</v>
      </c>
      <c r="C36" s="11">
        <v>14575380</v>
      </c>
      <c r="D36" s="121">
        <v>320130103</v>
      </c>
      <c r="E36" s="121" t="s">
        <v>76</v>
      </c>
      <c r="F36" s="122">
        <v>14575380</v>
      </c>
      <c r="G36" s="15">
        <f t="shared" si="0"/>
        <v>0</v>
      </c>
    </row>
    <row r="37" spans="1:7" x14ac:dyDescent="0.25">
      <c r="A37" s="4" t="s">
        <v>77</v>
      </c>
      <c r="B37" s="5" t="s">
        <v>78</v>
      </c>
      <c r="C37" s="10">
        <v>57000000</v>
      </c>
      <c r="D37" s="121">
        <v>3201302</v>
      </c>
      <c r="E37" s="121" t="s">
        <v>78</v>
      </c>
      <c r="F37" s="122">
        <v>57000000</v>
      </c>
      <c r="G37" s="15">
        <f t="shared" si="0"/>
        <v>0</v>
      </c>
    </row>
    <row r="38" spans="1:7" x14ac:dyDescent="0.25">
      <c r="A38" s="99" t="s">
        <v>79</v>
      </c>
      <c r="B38" s="1" t="s">
        <v>80</v>
      </c>
      <c r="C38" s="11">
        <v>13000000</v>
      </c>
      <c r="D38" s="121">
        <v>320130201</v>
      </c>
      <c r="E38" s="121" t="s">
        <v>80</v>
      </c>
      <c r="F38" s="122">
        <v>13000000</v>
      </c>
      <c r="G38" s="15">
        <f t="shared" si="0"/>
        <v>0</v>
      </c>
    </row>
    <row r="39" spans="1:7" x14ac:dyDescent="0.25">
      <c r="A39" s="99" t="s">
        <v>81</v>
      </c>
      <c r="B39" s="1" t="s">
        <v>82</v>
      </c>
      <c r="C39" s="11">
        <v>44000000</v>
      </c>
      <c r="D39" s="121">
        <v>320130204</v>
      </c>
      <c r="E39" s="121" t="s">
        <v>82</v>
      </c>
      <c r="F39" s="122">
        <v>44000000</v>
      </c>
      <c r="G39" s="15">
        <f t="shared" si="0"/>
        <v>0</v>
      </c>
    </row>
    <row r="40" spans="1:7" x14ac:dyDescent="0.25">
      <c r="A40" s="4" t="s">
        <v>83</v>
      </c>
      <c r="B40" s="5" t="s">
        <v>84</v>
      </c>
      <c r="C40" s="10">
        <v>64841528</v>
      </c>
      <c r="D40" s="121">
        <v>3201303</v>
      </c>
      <c r="E40" s="121" t="s">
        <v>84</v>
      </c>
      <c r="F40" s="122">
        <v>64841528</v>
      </c>
      <c r="G40" s="15">
        <f t="shared" si="0"/>
        <v>0</v>
      </c>
    </row>
    <row r="41" spans="1:7" x14ac:dyDescent="0.25">
      <c r="A41" s="99" t="s">
        <v>85</v>
      </c>
      <c r="B41" s="1" t="s">
        <v>86</v>
      </c>
      <c r="C41" s="11">
        <v>64841528</v>
      </c>
      <c r="D41" s="121">
        <v>320130301</v>
      </c>
      <c r="E41" s="121" t="s">
        <v>86</v>
      </c>
      <c r="F41" s="122">
        <v>64841528</v>
      </c>
      <c r="G41" s="15">
        <f t="shared" si="0"/>
        <v>0</v>
      </c>
    </row>
    <row r="42" spans="1:7" x14ac:dyDescent="0.25">
      <c r="A42" s="4" t="s">
        <v>87</v>
      </c>
      <c r="B42" s="5" t="s">
        <v>88</v>
      </c>
      <c r="C42" s="10">
        <v>666400000</v>
      </c>
      <c r="D42" s="121">
        <v>3201304</v>
      </c>
      <c r="E42" s="121" t="s">
        <v>88</v>
      </c>
      <c r="F42" s="122">
        <v>666400000</v>
      </c>
      <c r="G42" s="15">
        <f t="shared" si="0"/>
        <v>0</v>
      </c>
    </row>
    <row r="43" spans="1:7" x14ac:dyDescent="0.25">
      <c r="A43" s="99" t="s">
        <v>89</v>
      </c>
      <c r="B43" s="1" t="s">
        <v>90</v>
      </c>
      <c r="C43" s="11">
        <v>217473445</v>
      </c>
      <c r="D43" s="121">
        <v>320130401</v>
      </c>
      <c r="E43" s="121" t="s">
        <v>90</v>
      </c>
      <c r="F43" s="122">
        <v>217473445</v>
      </c>
      <c r="G43" s="15">
        <f t="shared" si="0"/>
        <v>0</v>
      </c>
    </row>
    <row r="44" spans="1:7" x14ac:dyDescent="0.25">
      <c r="A44" s="99" t="s">
        <v>91</v>
      </c>
      <c r="B44" s="1" t="s">
        <v>92</v>
      </c>
      <c r="C44" s="11">
        <v>105866150</v>
      </c>
      <c r="D44" s="121">
        <v>320130402</v>
      </c>
      <c r="E44" s="121" t="s">
        <v>92</v>
      </c>
      <c r="F44" s="122">
        <v>105866150</v>
      </c>
      <c r="G44" s="15">
        <f t="shared" si="0"/>
        <v>0</v>
      </c>
    </row>
    <row r="45" spans="1:7" x14ac:dyDescent="0.25">
      <c r="A45" s="99" t="s">
        <v>93</v>
      </c>
      <c r="B45" s="1" t="s">
        <v>94</v>
      </c>
      <c r="C45" s="11">
        <v>68912517</v>
      </c>
      <c r="D45" s="121">
        <v>320130403</v>
      </c>
      <c r="E45" s="121" t="s">
        <v>94</v>
      </c>
      <c r="F45" s="122">
        <v>68912517</v>
      </c>
      <c r="G45" s="15">
        <f t="shared" si="0"/>
        <v>0</v>
      </c>
    </row>
    <row r="46" spans="1:7" x14ac:dyDescent="0.25">
      <c r="A46" s="99" t="s">
        <v>95</v>
      </c>
      <c r="B46" s="1" t="s">
        <v>96</v>
      </c>
      <c r="C46" s="11">
        <v>274147888</v>
      </c>
      <c r="D46" s="121">
        <v>320130404</v>
      </c>
      <c r="E46" s="121" t="s">
        <v>96</v>
      </c>
      <c r="F46" s="122">
        <v>274147888</v>
      </c>
      <c r="G46" s="15">
        <f t="shared" si="0"/>
        <v>0</v>
      </c>
    </row>
    <row r="47" spans="1:7" x14ac:dyDescent="0.25">
      <c r="A47" s="4" t="s">
        <v>97</v>
      </c>
      <c r="B47" s="5" t="s">
        <v>98</v>
      </c>
      <c r="C47" s="10">
        <v>1083000002</v>
      </c>
      <c r="D47" s="121">
        <v>3201305</v>
      </c>
      <c r="E47" s="121" t="s">
        <v>98</v>
      </c>
      <c r="F47" s="122">
        <v>1083000002</v>
      </c>
      <c r="G47" s="15">
        <f t="shared" si="0"/>
        <v>0</v>
      </c>
    </row>
    <row r="48" spans="1:7" x14ac:dyDescent="0.25">
      <c r="A48" s="99" t="s">
        <v>99</v>
      </c>
      <c r="B48" s="1" t="s">
        <v>100</v>
      </c>
      <c r="C48" s="11">
        <v>64858899</v>
      </c>
      <c r="D48" s="121">
        <v>320130501</v>
      </c>
      <c r="E48" s="121" t="s">
        <v>100</v>
      </c>
      <c r="F48" s="122">
        <v>64858899</v>
      </c>
      <c r="G48" s="15">
        <f t="shared" si="0"/>
        <v>0</v>
      </c>
    </row>
    <row r="49" spans="1:7" x14ac:dyDescent="0.25">
      <c r="A49" s="99" t="s">
        <v>101</v>
      </c>
      <c r="B49" s="1" t="s">
        <v>102</v>
      </c>
      <c r="C49" s="11">
        <v>607051554</v>
      </c>
      <c r="D49" s="121">
        <v>320130502</v>
      </c>
      <c r="E49" s="121" t="s">
        <v>102</v>
      </c>
      <c r="F49" s="122">
        <v>607051554</v>
      </c>
      <c r="G49" s="15">
        <f t="shared" si="0"/>
        <v>0</v>
      </c>
    </row>
    <row r="50" spans="1:7" x14ac:dyDescent="0.25">
      <c r="A50" s="99" t="s">
        <v>103</v>
      </c>
      <c r="B50" s="1" t="s">
        <v>104</v>
      </c>
      <c r="C50" s="11">
        <v>64251700</v>
      </c>
      <c r="D50" s="121">
        <v>320130503</v>
      </c>
      <c r="E50" s="121" t="s">
        <v>104</v>
      </c>
      <c r="F50" s="122">
        <v>64251700</v>
      </c>
      <c r="G50" s="15">
        <f t="shared" si="0"/>
        <v>0</v>
      </c>
    </row>
    <row r="51" spans="1:7" x14ac:dyDescent="0.25">
      <c r="A51" s="99" t="s">
        <v>105</v>
      </c>
      <c r="B51" s="1" t="s">
        <v>106</v>
      </c>
      <c r="C51" s="11">
        <v>291095125</v>
      </c>
      <c r="D51" s="121">
        <v>320130504</v>
      </c>
      <c r="E51" s="121" t="s">
        <v>106</v>
      </c>
      <c r="F51" s="122">
        <v>291095125</v>
      </c>
      <c r="G51" s="15">
        <f t="shared" si="0"/>
        <v>0</v>
      </c>
    </row>
    <row r="52" spans="1:7" x14ac:dyDescent="0.25">
      <c r="A52" s="99" t="s">
        <v>107</v>
      </c>
      <c r="B52" s="1" t="s">
        <v>108</v>
      </c>
      <c r="C52" s="11">
        <v>55742724</v>
      </c>
      <c r="D52" s="121">
        <v>320130505</v>
      </c>
      <c r="E52" s="121" t="s">
        <v>108</v>
      </c>
      <c r="F52" s="122">
        <v>55742724</v>
      </c>
      <c r="G52" s="15">
        <f t="shared" si="0"/>
        <v>0</v>
      </c>
    </row>
    <row r="53" spans="1:7" x14ac:dyDescent="0.25">
      <c r="A53" s="4" t="s">
        <v>109</v>
      </c>
      <c r="B53" s="5" t="s">
        <v>110</v>
      </c>
      <c r="C53" s="10">
        <v>42000002</v>
      </c>
      <c r="D53" s="121">
        <v>3201306</v>
      </c>
      <c r="E53" s="121" t="s">
        <v>110</v>
      </c>
      <c r="F53" s="122">
        <v>42000002</v>
      </c>
      <c r="G53" s="15">
        <f t="shared" si="0"/>
        <v>0</v>
      </c>
    </row>
    <row r="54" spans="1:7" x14ac:dyDescent="0.25">
      <c r="A54" s="99" t="s">
        <v>111</v>
      </c>
      <c r="B54" s="1" t="s">
        <v>112</v>
      </c>
      <c r="C54" s="11">
        <v>10603451</v>
      </c>
      <c r="D54" s="121">
        <v>320130601</v>
      </c>
      <c r="E54" s="121" t="s">
        <v>112</v>
      </c>
      <c r="F54" s="122">
        <v>10603451</v>
      </c>
      <c r="G54" s="15">
        <f t="shared" si="0"/>
        <v>0</v>
      </c>
    </row>
    <row r="55" spans="1:7" x14ac:dyDescent="0.25">
      <c r="A55" s="99" t="s">
        <v>113</v>
      </c>
      <c r="B55" s="1" t="s">
        <v>114</v>
      </c>
      <c r="C55" s="11">
        <v>11818263</v>
      </c>
      <c r="D55" s="121">
        <v>320130602</v>
      </c>
      <c r="E55" s="121" t="s">
        <v>114</v>
      </c>
      <c r="F55" s="122">
        <v>11818263</v>
      </c>
      <c r="G55" s="15">
        <f t="shared" si="0"/>
        <v>0</v>
      </c>
    </row>
    <row r="56" spans="1:7" x14ac:dyDescent="0.25">
      <c r="A56" s="99" t="s">
        <v>115</v>
      </c>
      <c r="B56" s="1" t="s">
        <v>116</v>
      </c>
      <c r="C56" s="11">
        <v>1690072</v>
      </c>
      <c r="D56" s="121">
        <v>320130603</v>
      </c>
      <c r="E56" s="121" t="s">
        <v>116</v>
      </c>
      <c r="F56" s="122">
        <v>1690072</v>
      </c>
      <c r="G56" s="15">
        <f t="shared" si="0"/>
        <v>0</v>
      </c>
    </row>
    <row r="57" spans="1:7" x14ac:dyDescent="0.25">
      <c r="A57" s="99" t="s">
        <v>117</v>
      </c>
      <c r="B57" s="1" t="s">
        <v>118</v>
      </c>
      <c r="C57" s="11">
        <v>4119363</v>
      </c>
      <c r="D57" s="121">
        <v>320130604</v>
      </c>
      <c r="E57" s="121" t="s">
        <v>118</v>
      </c>
      <c r="F57" s="122">
        <v>4119363</v>
      </c>
      <c r="G57" s="15">
        <f t="shared" si="0"/>
        <v>0</v>
      </c>
    </row>
    <row r="58" spans="1:7" x14ac:dyDescent="0.25">
      <c r="A58" s="99" t="s">
        <v>119</v>
      </c>
      <c r="B58" s="1" t="s">
        <v>120</v>
      </c>
      <c r="C58" s="11">
        <v>13768853</v>
      </c>
      <c r="D58" s="121">
        <v>320130605</v>
      </c>
      <c r="E58" s="121" t="s">
        <v>120</v>
      </c>
      <c r="F58" s="122">
        <v>13768853</v>
      </c>
      <c r="G58" s="15">
        <f t="shared" si="0"/>
        <v>0</v>
      </c>
    </row>
    <row r="59" spans="1:7" x14ac:dyDescent="0.25">
      <c r="A59" s="4" t="s">
        <v>121</v>
      </c>
      <c r="B59" s="5" t="s">
        <v>122</v>
      </c>
      <c r="C59" s="10">
        <v>259027614</v>
      </c>
      <c r="D59" s="121">
        <v>3201307</v>
      </c>
      <c r="E59" s="121" t="s">
        <v>122</v>
      </c>
      <c r="F59" s="122">
        <v>259027614</v>
      </c>
      <c r="G59" s="15">
        <f t="shared" si="0"/>
        <v>0</v>
      </c>
    </row>
    <row r="60" spans="1:7" x14ac:dyDescent="0.25">
      <c r="A60" s="99" t="s">
        <v>123</v>
      </c>
      <c r="B60" s="1" t="s">
        <v>124</v>
      </c>
      <c r="C60" s="11">
        <v>106000000</v>
      </c>
      <c r="D60" s="121">
        <v>320130701</v>
      </c>
      <c r="E60" s="121" t="s">
        <v>124</v>
      </c>
      <c r="F60" s="122">
        <v>106000000</v>
      </c>
      <c r="G60" s="15">
        <f t="shared" si="0"/>
        <v>0</v>
      </c>
    </row>
    <row r="61" spans="1:7" x14ac:dyDescent="0.25">
      <c r="A61" s="99" t="s">
        <v>125</v>
      </c>
      <c r="B61" s="1" t="s">
        <v>126</v>
      </c>
      <c r="C61" s="11">
        <v>153027614</v>
      </c>
      <c r="D61" s="121">
        <v>320130702</v>
      </c>
      <c r="E61" s="121" t="s">
        <v>126</v>
      </c>
      <c r="F61" s="122">
        <v>153027614</v>
      </c>
      <c r="G61" s="15">
        <f t="shared" si="0"/>
        <v>0</v>
      </c>
    </row>
    <row r="62" spans="1:7" x14ac:dyDescent="0.25">
      <c r="A62" s="4" t="s">
        <v>127</v>
      </c>
      <c r="B62" s="5" t="s">
        <v>128</v>
      </c>
      <c r="C62" s="10">
        <v>341055051</v>
      </c>
      <c r="D62" s="121">
        <v>3201308</v>
      </c>
      <c r="E62" s="121" t="s">
        <v>128</v>
      </c>
      <c r="F62" s="122">
        <v>341055051</v>
      </c>
      <c r="G62" s="15">
        <f t="shared" si="0"/>
        <v>0</v>
      </c>
    </row>
    <row r="63" spans="1:7" x14ac:dyDescent="0.25">
      <c r="A63" s="99" t="s">
        <v>129</v>
      </c>
      <c r="B63" s="1" t="s">
        <v>130</v>
      </c>
      <c r="C63" s="11">
        <v>121185959</v>
      </c>
      <c r="D63" s="121">
        <v>320130801</v>
      </c>
      <c r="E63" s="121" t="s">
        <v>130</v>
      </c>
      <c r="F63" s="122">
        <v>121185959</v>
      </c>
      <c r="G63" s="15">
        <f t="shared" si="0"/>
        <v>0</v>
      </c>
    </row>
    <row r="64" spans="1:7" x14ac:dyDescent="0.25">
      <c r="A64" s="99" t="s">
        <v>131</v>
      </c>
      <c r="B64" s="1" t="s">
        <v>132</v>
      </c>
      <c r="C64" s="11">
        <v>157958873</v>
      </c>
      <c r="D64" s="121">
        <v>320130802</v>
      </c>
      <c r="E64" s="121" t="s">
        <v>132</v>
      </c>
      <c r="F64" s="122">
        <v>157958873</v>
      </c>
      <c r="G64" s="15">
        <f t="shared" si="0"/>
        <v>0</v>
      </c>
    </row>
    <row r="65" spans="1:7" x14ac:dyDescent="0.25">
      <c r="A65" s="99" t="s">
        <v>133</v>
      </c>
      <c r="B65" s="1" t="s">
        <v>134</v>
      </c>
      <c r="C65" s="11">
        <v>61910219</v>
      </c>
      <c r="D65" s="121">
        <v>320130803</v>
      </c>
      <c r="E65" s="121" t="s">
        <v>134</v>
      </c>
      <c r="F65" s="122">
        <v>61910219</v>
      </c>
      <c r="G65" s="15">
        <f t="shared" si="0"/>
        <v>0</v>
      </c>
    </row>
    <row r="66" spans="1:7" x14ac:dyDescent="0.25">
      <c r="A66" s="4" t="s">
        <v>135</v>
      </c>
      <c r="B66" s="5" t="s">
        <v>136</v>
      </c>
      <c r="C66" s="10">
        <v>1648038615</v>
      </c>
      <c r="D66" s="121">
        <v>3201309</v>
      </c>
      <c r="E66" s="121" t="s">
        <v>136</v>
      </c>
      <c r="F66" s="122">
        <v>1648038616</v>
      </c>
      <c r="G66" s="15">
        <f t="shared" si="0"/>
        <v>1</v>
      </c>
    </row>
    <row r="67" spans="1:7" x14ac:dyDescent="0.25">
      <c r="A67" s="99" t="s">
        <v>137</v>
      </c>
      <c r="B67" s="1" t="s">
        <v>138</v>
      </c>
      <c r="C67" s="11">
        <v>1002334991</v>
      </c>
      <c r="D67" s="121">
        <v>320130901</v>
      </c>
      <c r="E67" s="121" t="s">
        <v>138</v>
      </c>
      <c r="F67" s="122">
        <v>1002334991</v>
      </c>
      <c r="G67" s="15">
        <f t="shared" ref="G67:G130" si="1">+F67-C67</f>
        <v>0</v>
      </c>
    </row>
    <row r="68" spans="1:7" x14ac:dyDescent="0.25">
      <c r="A68" s="99" t="s">
        <v>139</v>
      </c>
      <c r="B68" s="1" t="s">
        <v>140</v>
      </c>
      <c r="C68" s="11">
        <v>256783541</v>
      </c>
      <c r="D68" s="121">
        <v>320130902</v>
      </c>
      <c r="E68" s="121" t="s">
        <v>140</v>
      </c>
      <c r="F68" s="122">
        <v>256783541</v>
      </c>
      <c r="G68" s="15">
        <f t="shared" si="1"/>
        <v>0</v>
      </c>
    </row>
    <row r="69" spans="1:7" x14ac:dyDescent="0.25">
      <c r="A69" s="99" t="s">
        <v>141</v>
      </c>
      <c r="B69" s="1" t="s">
        <v>142</v>
      </c>
      <c r="C69" s="11">
        <v>244999473</v>
      </c>
      <c r="D69" s="121">
        <v>320130903</v>
      </c>
      <c r="E69" s="121" t="s">
        <v>142</v>
      </c>
      <c r="F69" s="122">
        <v>244999474</v>
      </c>
      <c r="G69" s="15">
        <f t="shared" si="1"/>
        <v>1</v>
      </c>
    </row>
    <row r="70" spans="1:7" x14ac:dyDescent="0.25">
      <c r="A70" s="99" t="s">
        <v>143</v>
      </c>
      <c r="B70" s="1" t="s">
        <v>144</v>
      </c>
      <c r="C70" s="11">
        <v>143920610</v>
      </c>
      <c r="D70" s="121">
        <v>320130904</v>
      </c>
      <c r="E70" s="121" t="s">
        <v>841</v>
      </c>
      <c r="F70" s="122">
        <v>143920610</v>
      </c>
      <c r="G70" s="15">
        <f t="shared" si="1"/>
        <v>0</v>
      </c>
    </row>
    <row r="71" spans="1:7" x14ac:dyDescent="0.25">
      <c r="A71" s="4" t="s">
        <v>145</v>
      </c>
      <c r="B71" s="5" t="s">
        <v>146</v>
      </c>
      <c r="C71" s="10">
        <v>6430078399</v>
      </c>
      <c r="D71" s="119">
        <v>321</v>
      </c>
      <c r="E71" s="119" t="s">
        <v>146</v>
      </c>
      <c r="F71" s="120">
        <v>6430078399</v>
      </c>
      <c r="G71" s="15">
        <f t="shared" si="1"/>
        <v>0</v>
      </c>
    </row>
    <row r="72" spans="1:7" x14ac:dyDescent="0.25">
      <c r="A72" s="99" t="s">
        <v>147</v>
      </c>
      <c r="B72" s="1" t="s">
        <v>148</v>
      </c>
      <c r="C72" s="11">
        <v>513100000</v>
      </c>
      <c r="D72" s="121">
        <v>32106</v>
      </c>
      <c r="E72" s="121" t="s">
        <v>148</v>
      </c>
      <c r="F72" s="122">
        <v>513100000</v>
      </c>
      <c r="G72" s="15">
        <f t="shared" si="1"/>
        <v>0</v>
      </c>
    </row>
    <row r="73" spans="1:7" x14ac:dyDescent="0.25">
      <c r="A73" s="4" t="s">
        <v>149</v>
      </c>
      <c r="B73" s="5" t="s">
        <v>150</v>
      </c>
      <c r="C73" s="10">
        <v>224620761</v>
      </c>
      <c r="D73" s="121">
        <v>32107</v>
      </c>
      <c r="E73" s="121" t="s">
        <v>150</v>
      </c>
      <c r="F73" s="122">
        <v>224620761</v>
      </c>
      <c r="G73" s="15">
        <f t="shared" si="1"/>
        <v>0</v>
      </c>
    </row>
    <row r="74" spans="1:7" x14ac:dyDescent="0.25">
      <c r="A74" s="99" t="s">
        <v>151</v>
      </c>
      <c r="B74" s="1" t="s">
        <v>152</v>
      </c>
      <c r="C74" s="11">
        <v>22481523</v>
      </c>
      <c r="D74" s="121">
        <v>3210701</v>
      </c>
      <c r="E74" s="121" t="s">
        <v>152</v>
      </c>
      <c r="F74" s="122">
        <v>22481523</v>
      </c>
      <c r="G74" s="15">
        <f t="shared" si="1"/>
        <v>0</v>
      </c>
    </row>
    <row r="75" spans="1:7" x14ac:dyDescent="0.25">
      <c r="A75" s="99" t="s">
        <v>153</v>
      </c>
      <c r="B75" s="1" t="s">
        <v>154</v>
      </c>
      <c r="C75" s="11">
        <v>202139238</v>
      </c>
      <c r="D75" s="121">
        <v>3210702</v>
      </c>
      <c r="E75" s="121" t="s">
        <v>154</v>
      </c>
      <c r="F75" s="122">
        <v>202139238</v>
      </c>
      <c r="G75" s="15">
        <f t="shared" si="1"/>
        <v>0</v>
      </c>
    </row>
    <row r="76" spans="1:7" x14ac:dyDescent="0.25">
      <c r="A76" s="99" t="s">
        <v>155</v>
      </c>
      <c r="B76" s="1" t="s">
        <v>156</v>
      </c>
      <c r="C76" s="11">
        <v>66530000</v>
      </c>
      <c r="D76" s="121">
        <v>32108</v>
      </c>
      <c r="E76" s="121" t="s">
        <v>156</v>
      </c>
      <c r="F76" s="122">
        <v>66530000</v>
      </c>
      <c r="G76" s="15">
        <f t="shared" si="1"/>
        <v>0</v>
      </c>
    </row>
    <row r="77" spans="1:7" x14ac:dyDescent="0.25">
      <c r="A77" s="99" t="s">
        <v>157</v>
      </c>
      <c r="B77" s="1" t="s">
        <v>158</v>
      </c>
      <c r="C77" s="11">
        <v>128780000</v>
      </c>
      <c r="D77" s="121">
        <v>32109</v>
      </c>
      <c r="E77" s="121" t="s">
        <v>158</v>
      </c>
      <c r="F77" s="122">
        <v>128780000</v>
      </c>
      <c r="G77" s="15">
        <f t="shared" si="1"/>
        <v>0</v>
      </c>
    </row>
    <row r="78" spans="1:7" x14ac:dyDescent="0.25">
      <c r="A78" s="99" t="s">
        <v>159</v>
      </c>
      <c r="B78" s="1" t="s">
        <v>160</v>
      </c>
      <c r="C78" s="11">
        <v>1500000000</v>
      </c>
      <c r="D78" s="121">
        <v>32110</v>
      </c>
      <c r="E78" s="121" t="s">
        <v>160</v>
      </c>
      <c r="F78" s="122">
        <v>1500000000</v>
      </c>
      <c r="G78" s="15">
        <f t="shared" si="1"/>
        <v>0</v>
      </c>
    </row>
    <row r="79" spans="1:7" x14ac:dyDescent="0.25">
      <c r="A79" s="99" t="s">
        <v>161</v>
      </c>
      <c r="B79" s="1" t="s">
        <v>162</v>
      </c>
      <c r="C79" s="11">
        <v>600000000</v>
      </c>
      <c r="D79" s="121">
        <v>32111</v>
      </c>
      <c r="E79" s="121" t="s">
        <v>162</v>
      </c>
      <c r="F79" s="122">
        <v>600000000</v>
      </c>
      <c r="G79" s="15">
        <f t="shared" si="1"/>
        <v>0</v>
      </c>
    </row>
    <row r="80" spans="1:7" x14ac:dyDescent="0.25">
      <c r="A80" s="99" t="s">
        <v>163</v>
      </c>
      <c r="B80" s="1" t="s">
        <v>164</v>
      </c>
      <c r="C80" s="11">
        <v>482650000</v>
      </c>
      <c r="D80" s="121">
        <v>32112</v>
      </c>
      <c r="E80" s="121" t="s">
        <v>164</v>
      </c>
      <c r="F80" s="122">
        <v>482650000</v>
      </c>
      <c r="G80" s="15">
        <f t="shared" si="1"/>
        <v>0</v>
      </c>
    </row>
    <row r="81" spans="1:7" x14ac:dyDescent="0.25">
      <c r="A81" s="4" t="s">
        <v>165</v>
      </c>
      <c r="B81" s="5" t="s">
        <v>166</v>
      </c>
      <c r="C81" s="10">
        <v>203600000</v>
      </c>
      <c r="D81" s="121">
        <v>32113</v>
      </c>
      <c r="E81" s="121" t="s">
        <v>166</v>
      </c>
      <c r="F81" s="122">
        <v>203600000</v>
      </c>
      <c r="G81" s="15">
        <f t="shared" si="1"/>
        <v>0</v>
      </c>
    </row>
    <row r="82" spans="1:7" x14ac:dyDescent="0.25">
      <c r="A82" s="99" t="s">
        <v>167</v>
      </c>
      <c r="B82" s="1" t="s">
        <v>168</v>
      </c>
      <c r="C82" s="11">
        <v>203600000</v>
      </c>
      <c r="D82" s="121">
        <v>3211301</v>
      </c>
      <c r="E82" s="121" t="s">
        <v>168</v>
      </c>
      <c r="F82" s="122">
        <v>203600000</v>
      </c>
      <c r="G82" s="15">
        <f t="shared" si="1"/>
        <v>0</v>
      </c>
    </row>
    <row r="83" spans="1:7" x14ac:dyDescent="0.25">
      <c r="A83" s="99" t="s">
        <v>169</v>
      </c>
      <c r="B83" s="1" t="s">
        <v>170</v>
      </c>
      <c r="C83" s="11">
        <v>1000</v>
      </c>
      <c r="D83" s="121">
        <v>32116</v>
      </c>
      <c r="E83" s="121" t="s">
        <v>170</v>
      </c>
      <c r="F83" s="122">
        <v>1000</v>
      </c>
      <c r="G83" s="15">
        <f t="shared" si="1"/>
        <v>0</v>
      </c>
    </row>
    <row r="84" spans="1:7" x14ac:dyDescent="0.25">
      <c r="A84" s="4" t="s">
        <v>171</v>
      </c>
      <c r="B84" s="5" t="s">
        <v>172</v>
      </c>
      <c r="C84" s="10">
        <v>62450000</v>
      </c>
      <c r="D84" s="121">
        <v>32123</v>
      </c>
      <c r="E84" s="121" t="s">
        <v>172</v>
      </c>
      <c r="F84" s="122">
        <v>62450000</v>
      </c>
      <c r="G84" s="15">
        <f t="shared" si="1"/>
        <v>0</v>
      </c>
    </row>
    <row r="85" spans="1:7" x14ac:dyDescent="0.25">
      <c r="A85" s="99" t="s">
        <v>173</v>
      </c>
      <c r="B85" s="1" t="s">
        <v>174</v>
      </c>
      <c r="C85" s="11">
        <v>12000000</v>
      </c>
      <c r="D85" s="121">
        <v>3212308</v>
      </c>
      <c r="E85" s="121" t="s">
        <v>174</v>
      </c>
      <c r="F85" s="122">
        <v>12000000</v>
      </c>
      <c r="G85" s="15">
        <f t="shared" si="1"/>
        <v>0</v>
      </c>
    </row>
    <row r="86" spans="1:7" x14ac:dyDescent="0.25">
      <c r="A86" s="99" t="s">
        <v>175</v>
      </c>
      <c r="B86" s="1" t="s">
        <v>176</v>
      </c>
      <c r="C86" s="11">
        <v>50450000</v>
      </c>
      <c r="D86" s="121">
        <v>3212311</v>
      </c>
      <c r="E86" s="121" t="s">
        <v>176</v>
      </c>
      <c r="F86" s="122">
        <v>50450000</v>
      </c>
      <c r="G86" s="15">
        <f t="shared" si="1"/>
        <v>0</v>
      </c>
    </row>
    <row r="87" spans="1:7" x14ac:dyDescent="0.25">
      <c r="A87" s="99" t="s">
        <v>177</v>
      </c>
      <c r="B87" s="1" t="s">
        <v>178</v>
      </c>
      <c r="C87" s="11">
        <v>200000000</v>
      </c>
      <c r="D87" s="121">
        <v>32124</v>
      </c>
      <c r="E87" s="121" t="s">
        <v>178</v>
      </c>
      <c r="F87" s="122">
        <v>200000000</v>
      </c>
      <c r="G87" s="15">
        <f t="shared" si="1"/>
        <v>0</v>
      </c>
    </row>
    <row r="88" spans="1:7" x14ac:dyDescent="0.25">
      <c r="A88" s="4" t="s">
        <v>179</v>
      </c>
      <c r="B88" s="5" t="s">
        <v>180</v>
      </c>
      <c r="C88" s="10">
        <v>2448346638</v>
      </c>
      <c r="D88" s="119">
        <v>32191</v>
      </c>
      <c r="E88" s="119" t="s">
        <v>180</v>
      </c>
      <c r="F88" s="120">
        <v>2448346638</v>
      </c>
      <c r="G88" s="15">
        <f t="shared" si="1"/>
        <v>0</v>
      </c>
    </row>
    <row r="89" spans="1:7" x14ac:dyDescent="0.25">
      <c r="A89" s="99" t="s">
        <v>181</v>
      </c>
      <c r="B89" s="1" t="s">
        <v>182</v>
      </c>
      <c r="C89" s="11">
        <v>1254000000</v>
      </c>
      <c r="D89" s="121">
        <v>3219106</v>
      </c>
      <c r="E89" s="121" t="s">
        <v>182</v>
      </c>
      <c r="F89" s="122">
        <v>1254000000</v>
      </c>
      <c r="G89" s="15">
        <f t="shared" si="1"/>
        <v>0</v>
      </c>
    </row>
    <row r="90" spans="1:7" x14ac:dyDescent="0.25">
      <c r="A90" s="99" t="s">
        <v>183</v>
      </c>
      <c r="B90" s="1" t="s">
        <v>184</v>
      </c>
      <c r="C90" s="11">
        <v>362496638</v>
      </c>
      <c r="D90" s="121">
        <v>3219108</v>
      </c>
      <c r="E90" s="121" t="s">
        <v>184</v>
      </c>
      <c r="F90" s="122">
        <v>362496638</v>
      </c>
      <c r="G90" s="15">
        <f t="shared" si="1"/>
        <v>0</v>
      </c>
    </row>
    <row r="91" spans="1:7" x14ac:dyDescent="0.25">
      <c r="A91" s="99" t="s">
        <v>185</v>
      </c>
      <c r="B91" s="1" t="s">
        <v>186</v>
      </c>
      <c r="C91" s="11">
        <v>377000000</v>
      </c>
      <c r="D91" s="121">
        <v>3219109</v>
      </c>
      <c r="E91" s="121" t="s">
        <v>186</v>
      </c>
      <c r="F91" s="122">
        <v>377000000</v>
      </c>
      <c r="G91" s="15">
        <f t="shared" si="1"/>
        <v>0</v>
      </c>
    </row>
    <row r="92" spans="1:7" x14ac:dyDescent="0.25">
      <c r="A92" s="99" t="s">
        <v>187</v>
      </c>
      <c r="B92" s="1" t="s">
        <v>188</v>
      </c>
      <c r="C92" s="11">
        <v>369850000</v>
      </c>
      <c r="D92" s="121">
        <v>3219111</v>
      </c>
      <c r="E92" s="121" t="s">
        <v>188</v>
      </c>
      <c r="F92" s="122">
        <v>369850000</v>
      </c>
      <c r="G92" s="15">
        <f t="shared" si="1"/>
        <v>0</v>
      </c>
    </row>
    <row r="93" spans="1:7" x14ac:dyDescent="0.25">
      <c r="A93" s="99" t="s">
        <v>189</v>
      </c>
      <c r="B93" s="1" t="s">
        <v>190</v>
      </c>
      <c r="C93" s="11">
        <v>85000000</v>
      </c>
      <c r="D93" s="121">
        <v>3219112</v>
      </c>
      <c r="E93" s="121" t="s">
        <v>190</v>
      </c>
      <c r="F93" s="122">
        <v>85000000</v>
      </c>
      <c r="G93" s="15">
        <f t="shared" si="1"/>
        <v>0</v>
      </c>
    </row>
    <row r="94" spans="1:7" x14ac:dyDescent="0.25">
      <c r="A94" s="99" t="s">
        <v>191</v>
      </c>
      <c r="B94" s="1" t="s">
        <v>192</v>
      </c>
      <c r="C94" s="11">
        <v>295323895</v>
      </c>
      <c r="D94" s="119">
        <v>323</v>
      </c>
      <c r="E94" s="119" t="s">
        <v>192</v>
      </c>
      <c r="F94" s="120">
        <v>295323895</v>
      </c>
      <c r="G94" s="15">
        <f t="shared" si="1"/>
        <v>0</v>
      </c>
    </row>
    <row r="95" spans="1:7" x14ac:dyDescent="0.25">
      <c r="A95" s="99" t="s">
        <v>193</v>
      </c>
      <c r="B95" s="1" t="s">
        <v>194</v>
      </c>
      <c r="C95" s="11">
        <v>295323895</v>
      </c>
      <c r="D95" s="121">
        <v>32307</v>
      </c>
      <c r="E95" s="121" t="s">
        <v>194</v>
      </c>
      <c r="F95" s="122">
        <v>295323895</v>
      </c>
      <c r="G95" s="15">
        <f t="shared" si="1"/>
        <v>0</v>
      </c>
    </row>
    <row r="96" spans="1:7" x14ac:dyDescent="0.25">
      <c r="A96" s="4" t="s">
        <v>195</v>
      </c>
      <c r="B96" s="5" t="s">
        <v>196</v>
      </c>
      <c r="C96" s="10">
        <v>10172993805</v>
      </c>
      <c r="D96" s="119">
        <v>4</v>
      </c>
      <c r="E96" s="119" t="s">
        <v>196</v>
      </c>
      <c r="F96" s="120">
        <v>10172993805</v>
      </c>
      <c r="G96" s="15">
        <f t="shared" si="1"/>
        <v>0</v>
      </c>
    </row>
    <row r="97" spans="1:7" x14ac:dyDescent="0.25">
      <c r="A97" s="4" t="s">
        <v>197</v>
      </c>
      <c r="B97" s="5" t="s">
        <v>198</v>
      </c>
      <c r="C97" s="10">
        <v>10172993805</v>
      </c>
      <c r="D97" s="119">
        <v>425</v>
      </c>
      <c r="E97" s="119" t="s">
        <v>198</v>
      </c>
      <c r="F97" s="120">
        <v>10172993805</v>
      </c>
      <c r="G97" s="15">
        <f t="shared" si="1"/>
        <v>0</v>
      </c>
    </row>
    <row r="98" spans="1:7" x14ac:dyDescent="0.25">
      <c r="A98" s="99" t="s">
        <v>199</v>
      </c>
      <c r="B98" s="1" t="s">
        <v>200</v>
      </c>
      <c r="C98" s="11">
        <v>10000000000</v>
      </c>
      <c r="D98" s="121">
        <v>42501</v>
      </c>
      <c r="E98" s="121" t="s">
        <v>200</v>
      </c>
      <c r="F98" s="122">
        <v>10000000000</v>
      </c>
      <c r="G98" s="15">
        <f t="shared" si="1"/>
        <v>0</v>
      </c>
    </row>
    <row r="99" spans="1:7" x14ac:dyDescent="0.25">
      <c r="A99" s="99" t="s">
        <v>201</v>
      </c>
      <c r="B99" s="1" t="s">
        <v>202</v>
      </c>
      <c r="C99" s="11">
        <v>172993805</v>
      </c>
      <c r="D99" s="121">
        <v>42502</v>
      </c>
      <c r="E99" s="121" t="s">
        <v>202</v>
      </c>
      <c r="F99" s="122">
        <v>172993805</v>
      </c>
      <c r="G99" s="15">
        <f t="shared" si="1"/>
        <v>0</v>
      </c>
    </row>
    <row r="100" spans="1:7" x14ac:dyDescent="0.25">
      <c r="A100" s="4" t="s">
        <v>203</v>
      </c>
      <c r="B100" s="5" t="s">
        <v>204</v>
      </c>
      <c r="C100" s="10">
        <v>16216609498</v>
      </c>
      <c r="D100" s="119">
        <v>5</v>
      </c>
      <c r="E100" s="119" t="s">
        <v>204</v>
      </c>
      <c r="F100" s="120">
        <v>16293609504</v>
      </c>
      <c r="G100" s="15">
        <f t="shared" si="1"/>
        <v>77000006</v>
      </c>
    </row>
    <row r="101" spans="1:7" x14ac:dyDescent="0.25">
      <c r="A101" s="4" t="s">
        <v>205</v>
      </c>
      <c r="B101" s="5" t="s">
        <v>204</v>
      </c>
      <c r="C101" s="10">
        <v>16216609498</v>
      </c>
      <c r="D101" s="119">
        <v>536</v>
      </c>
      <c r="E101" s="119" t="s">
        <v>204</v>
      </c>
      <c r="F101" s="120">
        <v>16293609504</v>
      </c>
      <c r="G101" s="15">
        <f t="shared" si="1"/>
        <v>77000006</v>
      </c>
    </row>
    <row r="102" spans="1:7" x14ac:dyDescent="0.25">
      <c r="A102" s="4" t="s">
        <v>206</v>
      </c>
      <c r="B102" s="5" t="s">
        <v>207</v>
      </c>
      <c r="C102" s="10">
        <v>964248530</v>
      </c>
      <c r="D102" s="121">
        <v>53601</v>
      </c>
      <c r="E102" s="121" t="s">
        <v>207</v>
      </c>
      <c r="F102" s="122">
        <v>964248532</v>
      </c>
      <c r="G102" s="15">
        <f t="shared" si="1"/>
        <v>2</v>
      </c>
    </row>
    <row r="103" spans="1:7" x14ac:dyDescent="0.25">
      <c r="A103" s="99" t="s">
        <v>208</v>
      </c>
      <c r="B103" s="1" t="s">
        <v>209</v>
      </c>
      <c r="C103" s="11">
        <v>40000000</v>
      </c>
      <c r="D103" s="121">
        <v>5360102</v>
      </c>
      <c r="E103" s="121" t="s">
        <v>209</v>
      </c>
      <c r="F103" s="122">
        <v>40000000</v>
      </c>
      <c r="G103" s="15">
        <f t="shared" si="1"/>
        <v>0</v>
      </c>
    </row>
    <row r="104" spans="1:7" x14ac:dyDescent="0.25">
      <c r="A104" s="99" t="s">
        <v>210</v>
      </c>
      <c r="B104" s="1" t="s">
        <v>211</v>
      </c>
      <c r="C104" s="11">
        <v>52250000</v>
      </c>
      <c r="D104" s="121">
        <v>5360105</v>
      </c>
      <c r="E104" s="121" t="s">
        <v>211</v>
      </c>
      <c r="F104" s="122">
        <v>52250000</v>
      </c>
      <c r="G104" s="15">
        <f t="shared" si="1"/>
        <v>0</v>
      </c>
    </row>
    <row r="105" spans="1:7" x14ac:dyDescent="0.25">
      <c r="A105" s="99" t="s">
        <v>212</v>
      </c>
      <c r="B105" s="1" t="s">
        <v>213</v>
      </c>
      <c r="C105" s="11">
        <v>1000</v>
      </c>
      <c r="D105" s="121">
        <v>5360107</v>
      </c>
      <c r="E105" s="121" t="s">
        <v>213</v>
      </c>
      <c r="F105" s="122">
        <v>1000</v>
      </c>
      <c r="G105" s="15">
        <f t="shared" si="1"/>
        <v>0</v>
      </c>
    </row>
    <row r="106" spans="1:7" x14ac:dyDescent="0.25">
      <c r="A106" s="99" t="s">
        <v>214</v>
      </c>
      <c r="B106" s="1" t="s">
        <v>215</v>
      </c>
      <c r="C106" s="11">
        <v>224000000</v>
      </c>
      <c r="D106" s="121">
        <v>5360108</v>
      </c>
      <c r="E106" s="121" t="s">
        <v>215</v>
      </c>
      <c r="F106" s="122">
        <v>224000000</v>
      </c>
      <c r="G106" s="15">
        <f t="shared" si="1"/>
        <v>0</v>
      </c>
    </row>
    <row r="107" spans="1:7" x14ac:dyDescent="0.25">
      <c r="A107" s="99" t="s">
        <v>216</v>
      </c>
      <c r="B107" s="1" t="s">
        <v>217</v>
      </c>
      <c r="C107" s="11">
        <v>31350000</v>
      </c>
      <c r="D107" s="121">
        <v>5360109</v>
      </c>
      <c r="E107" s="121" t="s">
        <v>217</v>
      </c>
      <c r="F107" s="122">
        <v>31350000</v>
      </c>
      <c r="G107" s="15">
        <f t="shared" si="1"/>
        <v>0</v>
      </c>
    </row>
    <row r="108" spans="1:7" x14ac:dyDescent="0.25">
      <c r="A108" s="99" t="s">
        <v>218</v>
      </c>
      <c r="B108" s="1" t="s">
        <v>219</v>
      </c>
      <c r="C108" s="11">
        <v>1000</v>
      </c>
      <c r="D108" s="121">
        <v>5360110</v>
      </c>
      <c r="E108" s="121" t="s">
        <v>219</v>
      </c>
      <c r="F108" s="122">
        <v>1000</v>
      </c>
      <c r="G108" s="15">
        <f t="shared" si="1"/>
        <v>0</v>
      </c>
    </row>
    <row r="109" spans="1:7" x14ac:dyDescent="0.25">
      <c r="A109" s="99" t="s">
        <v>220</v>
      </c>
      <c r="B109" s="1" t="s">
        <v>221</v>
      </c>
      <c r="C109" s="11">
        <v>1000</v>
      </c>
      <c r="D109" s="121">
        <v>5360111</v>
      </c>
      <c r="E109" s="121" t="s">
        <v>221</v>
      </c>
      <c r="F109" s="122">
        <v>1000</v>
      </c>
      <c r="G109" s="15">
        <f t="shared" si="1"/>
        <v>0</v>
      </c>
    </row>
    <row r="110" spans="1:7" x14ac:dyDescent="0.25">
      <c r="A110" s="99" t="s">
        <v>222</v>
      </c>
      <c r="B110" s="1" t="s">
        <v>223</v>
      </c>
      <c r="C110" s="11">
        <v>1000</v>
      </c>
      <c r="D110" s="121">
        <v>5360112</v>
      </c>
      <c r="E110" s="121" t="s">
        <v>223</v>
      </c>
      <c r="F110" s="122">
        <v>1000</v>
      </c>
      <c r="G110" s="15">
        <f t="shared" si="1"/>
        <v>0</v>
      </c>
    </row>
    <row r="111" spans="1:7" x14ac:dyDescent="0.25">
      <c r="A111" s="99" t="s">
        <v>224</v>
      </c>
      <c r="B111" s="1" t="s">
        <v>225</v>
      </c>
      <c r="C111" s="11">
        <v>49405000</v>
      </c>
      <c r="D111" s="121">
        <v>5360113</v>
      </c>
      <c r="E111" s="121" t="s">
        <v>225</v>
      </c>
      <c r="F111" s="122">
        <v>49405000</v>
      </c>
      <c r="G111" s="15">
        <f t="shared" si="1"/>
        <v>0</v>
      </c>
    </row>
    <row r="112" spans="1:7" x14ac:dyDescent="0.25">
      <c r="A112" s="99" t="s">
        <v>226</v>
      </c>
      <c r="B112" s="1" t="s">
        <v>227</v>
      </c>
      <c r="C112" s="11">
        <v>63746000</v>
      </c>
      <c r="D112" s="121">
        <v>5360114</v>
      </c>
      <c r="E112" s="121" t="s">
        <v>227</v>
      </c>
      <c r="F112" s="122">
        <v>63746000</v>
      </c>
      <c r="G112" s="15">
        <f t="shared" si="1"/>
        <v>0</v>
      </c>
    </row>
    <row r="113" spans="1:7" x14ac:dyDescent="0.25">
      <c r="A113" s="99" t="s">
        <v>228</v>
      </c>
      <c r="B113" s="1" t="s">
        <v>229</v>
      </c>
      <c r="C113" s="11">
        <v>1000</v>
      </c>
      <c r="D113" s="121">
        <v>5360115</v>
      </c>
      <c r="E113" s="121" t="s">
        <v>229</v>
      </c>
      <c r="F113" s="122">
        <v>1000</v>
      </c>
      <c r="G113" s="15">
        <f t="shared" si="1"/>
        <v>0</v>
      </c>
    </row>
    <row r="114" spans="1:7" x14ac:dyDescent="0.25">
      <c r="A114" s="99" t="s">
        <v>230</v>
      </c>
      <c r="B114" s="1" t="s">
        <v>231</v>
      </c>
      <c r="C114" s="11">
        <v>1000</v>
      </c>
      <c r="D114" s="121">
        <v>5360116</v>
      </c>
      <c r="E114" s="121" t="s">
        <v>231</v>
      </c>
      <c r="F114" s="122">
        <v>1000</v>
      </c>
      <c r="G114" s="15">
        <f t="shared" si="1"/>
        <v>0</v>
      </c>
    </row>
    <row r="115" spans="1:7" x14ac:dyDescent="0.25">
      <c r="A115" s="99" t="s">
        <v>232</v>
      </c>
      <c r="B115" s="1" t="s">
        <v>233</v>
      </c>
      <c r="C115" s="11">
        <v>1000</v>
      </c>
      <c r="D115" s="121">
        <v>5360117</v>
      </c>
      <c r="E115" s="121" t="s">
        <v>233</v>
      </c>
      <c r="F115" s="122">
        <v>1000</v>
      </c>
      <c r="G115" s="15">
        <f t="shared" si="1"/>
        <v>0</v>
      </c>
    </row>
    <row r="116" spans="1:7" x14ac:dyDescent="0.25">
      <c r="A116" s="99" t="s">
        <v>234</v>
      </c>
      <c r="B116" s="1" t="s">
        <v>235</v>
      </c>
      <c r="C116" s="11">
        <v>80000000</v>
      </c>
      <c r="D116" s="121">
        <v>5360118</v>
      </c>
      <c r="E116" s="121" t="s">
        <v>235</v>
      </c>
      <c r="F116" s="122">
        <v>80000000</v>
      </c>
      <c r="G116" s="15">
        <f t="shared" si="1"/>
        <v>0</v>
      </c>
    </row>
    <row r="117" spans="1:7" x14ac:dyDescent="0.25">
      <c r="A117" s="99" t="s">
        <v>236</v>
      </c>
      <c r="B117" s="1" t="s">
        <v>237</v>
      </c>
      <c r="C117" s="11">
        <v>1000</v>
      </c>
      <c r="D117" s="121">
        <v>5360119</v>
      </c>
      <c r="E117" s="121" t="s">
        <v>237</v>
      </c>
      <c r="F117" s="122">
        <v>1000</v>
      </c>
      <c r="G117" s="15">
        <f t="shared" si="1"/>
        <v>0</v>
      </c>
    </row>
    <row r="118" spans="1:7" x14ac:dyDescent="0.25">
      <c r="A118" s="99" t="s">
        <v>238</v>
      </c>
      <c r="B118" s="1" t="s">
        <v>239</v>
      </c>
      <c r="C118" s="11">
        <v>205129530</v>
      </c>
      <c r="D118" s="121">
        <v>5360120</v>
      </c>
      <c r="E118" s="121" t="s">
        <v>239</v>
      </c>
      <c r="F118" s="122">
        <v>205129532</v>
      </c>
      <c r="G118" s="15">
        <f t="shared" si="1"/>
        <v>2</v>
      </c>
    </row>
    <row r="119" spans="1:7" x14ac:dyDescent="0.25">
      <c r="A119" s="99" t="s">
        <v>240</v>
      </c>
      <c r="B119" s="1" t="s">
        <v>241</v>
      </c>
      <c r="C119" s="11">
        <v>68360000</v>
      </c>
      <c r="D119" s="121">
        <v>5360122</v>
      </c>
      <c r="E119" s="121" t="s">
        <v>241</v>
      </c>
      <c r="F119" s="122">
        <v>68360000</v>
      </c>
      <c r="G119" s="15">
        <f t="shared" si="1"/>
        <v>0</v>
      </c>
    </row>
    <row r="120" spans="1:7" x14ac:dyDescent="0.25">
      <c r="A120" s="99" t="s">
        <v>242</v>
      </c>
      <c r="B120" s="1" t="s">
        <v>243</v>
      </c>
      <c r="C120" s="11">
        <v>50000000</v>
      </c>
      <c r="D120" s="121">
        <v>5360123</v>
      </c>
      <c r="E120" s="121" t="s">
        <v>243</v>
      </c>
      <c r="F120" s="122">
        <v>50000000</v>
      </c>
      <c r="G120" s="15">
        <f t="shared" si="1"/>
        <v>0</v>
      </c>
    </row>
    <row r="121" spans="1:7" x14ac:dyDescent="0.25">
      <c r="A121" s="99" t="s">
        <v>244</v>
      </c>
      <c r="B121" s="1" t="s">
        <v>245</v>
      </c>
      <c r="C121" s="11">
        <v>100000000</v>
      </c>
      <c r="D121" s="121">
        <v>5360124</v>
      </c>
      <c r="E121" s="121" t="s">
        <v>245</v>
      </c>
      <c r="F121" s="122">
        <v>100000000</v>
      </c>
      <c r="G121" s="15">
        <f t="shared" si="1"/>
        <v>0</v>
      </c>
    </row>
    <row r="122" spans="1:7" x14ac:dyDescent="0.25">
      <c r="A122" s="4" t="s">
        <v>246</v>
      </c>
      <c r="B122" s="5" t="s">
        <v>247</v>
      </c>
      <c r="C122" s="10">
        <v>523367603</v>
      </c>
      <c r="D122" s="121">
        <v>53602</v>
      </c>
      <c r="E122" s="121" t="s">
        <v>247</v>
      </c>
      <c r="F122" s="122">
        <v>523367603</v>
      </c>
      <c r="G122" s="15">
        <f t="shared" si="1"/>
        <v>0</v>
      </c>
    </row>
    <row r="123" spans="1:7" x14ac:dyDescent="0.25">
      <c r="A123" s="99" t="s">
        <v>248</v>
      </c>
      <c r="B123" s="1" t="s">
        <v>249</v>
      </c>
      <c r="C123" s="11">
        <v>260000000</v>
      </c>
      <c r="D123" s="121">
        <v>5360201</v>
      </c>
      <c r="E123" s="121" t="s">
        <v>249</v>
      </c>
      <c r="F123" s="122">
        <v>260000000</v>
      </c>
      <c r="G123" s="15">
        <f t="shared" si="1"/>
        <v>0</v>
      </c>
    </row>
    <row r="124" spans="1:7" x14ac:dyDescent="0.25">
      <c r="A124" s="99" t="s">
        <v>250</v>
      </c>
      <c r="B124" s="1" t="s">
        <v>251</v>
      </c>
      <c r="C124" s="11">
        <v>54000000</v>
      </c>
      <c r="D124" s="121">
        <v>5360206</v>
      </c>
      <c r="E124" s="121" t="s">
        <v>251</v>
      </c>
      <c r="F124" s="122">
        <v>54000000</v>
      </c>
      <c r="G124" s="15">
        <f t="shared" si="1"/>
        <v>0</v>
      </c>
    </row>
    <row r="125" spans="1:7" x14ac:dyDescent="0.25">
      <c r="A125" s="99" t="s">
        <v>252</v>
      </c>
      <c r="B125" s="1" t="s">
        <v>253</v>
      </c>
      <c r="C125" s="11">
        <v>195927603</v>
      </c>
      <c r="D125" s="121">
        <v>5360210</v>
      </c>
      <c r="E125" s="121" t="s">
        <v>253</v>
      </c>
      <c r="F125" s="122">
        <v>195927603</v>
      </c>
      <c r="G125" s="15">
        <f t="shared" si="1"/>
        <v>0</v>
      </c>
    </row>
    <row r="126" spans="1:7" x14ac:dyDescent="0.25">
      <c r="A126" s="99" t="s">
        <v>254</v>
      </c>
      <c r="B126" s="1" t="s">
        <v>255</v>
      </c>
      <c r="C126" s="11">
        <v>6720000</v>
      </c>
      <c r="D126" s="121">
        <v>5360211</v>
      </c>
      <c r="E126" s="121" t="s">
        <v>255</v>
      </c>
      <c r="F126" s="122">
        <v>6720000</v>
      </c>
      <c r="G126" s="15">
        <f t="shared" si="1"/>
        <v>0</v>
      </c>
    </row>
    <row r="127" spans="1:7" x14ac:dyDescent="0.25">
      <c r="A127" s="99" t="s">
        <v>256</v>
      </c>
      <c r="B127" s="1" t="s">
        <v>257</v>
      </c>
      <c r="C127" s="11">
        <v>6720000</v>
      </c>
      <c r="D127" s="121">
        <v>5360212</v>
      </c>
      <c r="E127" s="121" t="s">
        <v>257</v>
      </c>
      <c r="F127" s="122">
        <v>6720000</v>
      </c>
      <c r="G127" s="15">
        <f t="shared" si="1"/>
        <v>0</v>
      </c>
    </row>
    <row r="128" spans="1:7" x14ac:dyDescent="0.25">
      <c r="A128" s="4" t="s">
        <v>258</v>
      </c>
      <c r="B128" s="5" t="s">
        <v>259</v>
      </c>
      <c r="C128" s="10">
        <v>75000000</v>
      </c>
      <c r="D128" s="121">
        <v>53603</v>
      </c>
      <c r="E128" s="121" t="s">
        <v>259</v>
      </c>
      <c r="F128" s="122">
        <v>75000000</v>
      </c>
      <c r="G128" s="15">
        <f t="shared" si="1"/>
        <v>0</v>
      </c>
    </row>
    <row r="129" spans="1:7" x14ac:dyDescent="0.25">
      <c r="A129" s="99" t="s">
        <v>260</v>
      </c>
      <c r="B129" s="1" t="s">
        <v>261</v>
      </c>
      <c r="C129" s="11">
        <v>15000000</v>
      </c>
      <c r="D129" s="121">
        <v>5360301</v>
      </c>
      <c r="E129" s="121" t="s">
        <v>261</v>
      </c>
      <c r="F129" s="122">
        <v>15000000</v>
      </c>
      <c r="G129" s="15">
        <f t="shared" si="1"/>
        <v>0</v>
      </c>
    </row>
    <row r="130" spans="1:7" x14ac:dyDescent="0.25">
      <c r="A130" s="99" t="s">
        <v>262</v>
      </c>
      <c r="B130" s="1" t="s">
        <v>263</v>
      </c>
      <c r="C130" s="11">
        <v>30000000</v>
      </c>
      <c r="D130" s="121">
        <v>5360302</v>
      </c>
      <c r="E130" s="121" t="s">
        <v>263</v>
      </c>
      <c r="F130" s="122">
        <v>30000000</v>
      </c>
      <c r="G130" s="15">
        <f t="shared" si="1"/>
        <v>0</v>
      </c>
    </row>
    <row r="131" spans="1:7" x14ac:dyDescent="0.25">
      <c r="A131" s="99" t="s">
        <v>264</v>
      </c>
      <c r="B131" s="1" t="s">
        <v>265</v>
      </c>
      <c r="C131" s="11">
        <v>30000000</v>
      </c>
      <c r="D131" s="121">
        <v>5360303</v>
      </c>
      <c r="E131" s="121" t="s">
        <v>265</v>
      </c>
      <c r="F131" s="122">
        <v>30000000</v>
      </c>
      <c r="G131" s="15">
        <f t="shared" ref="G131:G194" si="2">+F131-C131</f>
        <v>0</v>
      </c>
    </row>
    <row r="132" spans="1:7" x14ac:dyDescent="0.25">
      <c r="A132" s="4" t="s">
        <v>266</v>
      </c>
      <c r="B132" s="5" t="s">
        <v>267</v>
      </c>
      <c r="C132" s="10">
        <v>40010000</v>
      </c>
      <c r="D132" s="121">
        <v>53604</v>
      </c>
      <c r="E132" s="121" t="s">
        <v>267</v>
      </c>
      <c r="F132" s="122">
        <v>40010000</v>
      </c>
      <c r="G132" s="15">
        <f t="shared" si="2"/>
        <v>0</v>
      </c>
    </row>
    <row r="133" spans="1:7" x14ac:dyDescent="0.25">
      <c r="A133" s="99" t="s">
        <v>268</v>
      </c>
      <c r="B133" s="1" t="s">
        <v>269</v>
      </c>
      <c r="C133" s="11">
        <v>1000</v>
      </c>
      <c r="D133" s="121">
        <v>5360401</v>
      </c>
      <c r="E133" s="121" t="s">
        <v>269</v>
      </c>
      <c r="F133" s="122">
        <v>1000</v>
      </c>
      <c r="G133" s="15">
        <f t="shared" si="2"/>
        <v>0</v>
      </c>
    </row>
    <row r="134" spans="1:7" x14ac:dyDescent="0.25">
      <c r="A134" s="99" t="s">
        <v>270</v>
      </c>
      <c r="B134" s="1" t="s">
        <v>271</v>
      </c>
      <c r="C134" s="11">
        <v>1000</v>
      </c>
      <c r="D134" s="121">
        <v>5360403</v>
      </c>
      <c r="E134" s="121" t="s">
        <v>271</v>
      </c>
      <c r="F134" s="122">
        <v>1000</v>
      </c>
      <c r="G134" s="15">
        <f t="shared" si="2"/>
        <v>0</v>
      </c>
    </row>
    <row r="135" spans="1:7" x14ac:dyDescent="0.25">
      <c r="A135" s="99" t="s">
        <v>272</v>
      </c>
      <c r="B135" s="1" t="s">
        <v>273</v>
      </c>
      <c r="C135" s="11">
        <v>1000</v>
      </c>
      <c r="D135" s="121">
        <v>5360404</v>
      </c>
      <c r="E135" s="121" t="s">
        <v>273</v>
      </c>
      <c r="F135" s="122">
        <v>1000</v>
      </c>
      <c r="G135" s="15">
        <f t="shared" si="2"/>
        <v>0</v>
      </c>
    </row>
    <row r="136" spans="1:7" x14ac:dyDescent="0.25">
      <c r="A136" s="4" t="s">
        <v>274</v>
      </c>
      <c r="B136" s="5" t="s">
        <v>275</v>
      </c>
      <c r="C136" s="10">
        <v>0</v>
      </c>
      <c r="D136" s="121"/>
      <c r="E136" s="121"/>
      <c r="F136" s="122"/>
      <c r="G136" s="15">
        <f t="shared" si="2"/>
        <v>0</v>
      </c>
    </row>
    <row r="137" spans="1:7" x14ac:dyDescent="0.25">
      <c r="A137" s="99" t="s">
        <v>276</v>
      </c>
      <c r="B137" s="1" t="s">
        <v>277</v>
      </c>
      <c r="C137" s="11">
        <v>0</v>
      </c>
      <c r="D137" s="121"/>
      <c r="E137" s="121"/>
      <c r="F137" s="122"/>
      <c r="G137" s="15">
        <f t="shared" si="2"/>
        <v>0</v>
      </c>
    </row>
    <row r="138" spans="1:7" x14ac:dyDescent="0.25">
      <c r="A138" s="4" t="s">
        <v>278</v>
      </c>
      <c r="B138" s="5" t="s">
        <v>279</v>
      </c>
      <c r="C138" s="10">
        <v>0</v>
      </c>
      <c r="D138" s="121"/>
      <c r="E138" s="121"/>
      <c r="F138" s="122"/>
      <c r="G138" s="15">
        <f t="shared" si="2"/>
        <v>0</v>
      </c>
    </row>
    <row r="139" spans="1:7" x14ac:dyDescent="0.25">
      <c r="A139" s="99" t="s">
        <v>280</v>
      </c>
      <c r="B139" s="1" t="s">
        <v>281</v>
      </c>
      <c r="C139" s="11">
        <v>0</v>
      </c>
      <c r="D139" s="121"/>
      <c r="E139" s="121"/>
      <c r="F139" s="122"/>
      <c r="G139" s="15">
        <f t="shared" si="2"/>
        <v>0</v>
      </c>
    </row>
    <row r="140" spans="1:7" x14ac:dyDescent="0.25">
      <c r="A140" s="99" t="s">
        <v>282</v>
      </c>
      <c r="B140" s="1" t="s">
        <v>251</v>
      </c>
      <c r="C140" s="11">
        <v>0</v>
      </c>
      <c r="D140" s="121"/>
      <c r="E140" s="121"/>
      <c r="F140" s="122"/>
      <c r="G140" s="15">
        <f t="shared" si="2"/>
        <v>0</v>
      </c>
    </row>
    <row r="141" spans="1:7" x14ac:dyDescent="0.25">
      <c r="A141" s="99" t="s">
        <v>283</v>
      </c>
      <c r="B141" s="1" t="s">
        <v>284</v>
      </c>
      <c r="C141" s="11">
        <v>0</v>
      </c>
      <c r="D141" s="121"/>
      <c r="E141" s="121"/>
      <c r="F141" s="122"/>
      <c r="G141" s="15">
        <f t="shared" si="2"/>
        <v>0</v>
      </c>
    </row>
    <row r="142" spans="1:7" x14ac:dyDescent="0.25">
      <c r="A142" s="99" t="s">
        <v>285</v>
      </c>
      <c r="B142" s="1" t="s">
        <v>286</v>
      </c>
      <c r="C142" s="11">
        <v>0</v>
      </c>
      <c r="D142" s="121"/>
      <c r="E142" s="121"/>
      <c r="F142" s="122"/>
      <c r="G142" s="15">
        <f t="shared" si="2"/>
        <v>0</v>
      </c>
    </row>
    <row r="143" spans="1:7" x14ac:dyDescent="0.25">
      <c r="A143" s="99" t="s">
        <v>287</v>
      </c>
      <c r="B143" s="1" t="s">
        <v>288</v>
      </c>
      <c r="C143" s="11">
        <v>0</v>
      </c>
      <c r="D143" s="121"/>
      <c r="E143" s="121"/>
      <c r="F143" s="122"/>
      <c r="G143" s="15">
        <f t="shared" si="2"/>
        <v>0</v>
      </c>
    </row>
    <row r="144" spans="1:7" x14ac:dyDescent="0.25">
      <c r="A144" s="99" t="s">
        <v>289</v>
      </c>
      <c r="B144" s="1" t="s">
        <v>290</v>
      </c>
      <c r="C144" s="11">
        <v>0</v>
      </c>
      <c r="D144" s="121"/>
      <c r="E144" s="121"/>
      <c r="F144" s="122"/>
      <c r="G144" s="15">
        <f t="shared" si="2"/>
        <v>0</v>
      </c>
    </row>
    <row r="145" spans="1:7" x14ac:dyDescent="0.25">
      <c r="A145" s="99" t="s">
        <v>291</v>
      </c>
      <c r="B145" s="1" t="s">
        <v>292</v>
      </c>
      <c r="C145" s="11">
        <v>0</v>
      </c>
      <c r="D145" s="121"/>
      <c r="E145" s="121"/>
      <c r="F145" s="122"/>
      <c r="G145" s="15">
        <f t="shared" si="2"/>
        <v>0</v>
      </c>
    </row>
    <row r="146" spans="1:7" x14ac:dyDescent="0.25">
      <c r="A146" s="99" t="s">
        <v>293</v>
      </c>
      <c r="B146" s="1" t="s">
        <v>294</v>
      </c>
      <c r="C146" s="11">
        <v>0</v>
      </c>
      <c r="D146" s="121"/>
      <c r="E146" s="121"/>
      <c r="F146" s="122"/>
      <c r="G146" s="15">
        <f t="shared" si="2"/>
        <v>0</v>
      </c>
    </row>
    <row r="147" spans="1:7" x14ac:dyDescent="0.25">
      <c r="A147" s="99" t="s">
        <v>295</v>
      </c>
      <c r="B147" s="1" t="s">
        <v>296</v>
      </c>
      <c r="C147" s="11">
        <v>0</v>
      </c>
      <c r="D147" s="121"/>
      <c r="E147" s="121"/>
      <c r="F147" s="122"/>
      <c r="G147" s="15">
        <f t="shared" si="2"/>
        <v>0</v>
      </c>
    </row>
    <row r="148" spans="1:7" x14ac:dyDescent="0.25">
      <c r="A148" s="99" t="s">
        <v>297</v>
      </c>
      <c r="B148" s="1" t="s">
        <v>298</v>
      </c>
      <c r="C148" s="11">
        <v>0</v>
      </c>
      <c r="D148" s="121"/>
      <c r="E148" s="121"/>
      <c r="F148" s="122"/>
      <c r="G148" s="15">
        <f t="shared" si="2"/>
        <v>0</v>
      </c>
    </row>
    <row r="149" spans="1:7" x14ac:dyDescent="0.25">
      <c r="A149" s="99" t="s">
        <v>299</v>
      </c>
      <c r="B149" s="1" t="s">
        <v>300</v>
      </c>
      <c r="C149" s="11">
        <v>0</v>
      </c>
      <c r="D149" s="121"/>
      <c r="E149" s="121"/>
      <c r="F149" s="122"/>
      <c r="G149" s="15">
        <f t="shared" si="2"/>
        <v>0</v>
      </c>
    </row>
    <row r="150" spans="1:7" x14ac:dyDescent="0.25">
      <c r="A150" s="99" t="s">
        <v>301</v>
      </c>
      <c r="B150" s="1" t="s">
        <v>302</v>
      </c>
      <c r="C150" s="11">
        <v>0</v>
      </c>
      <c r="D150" s="121"/>
      <c r="E150" s="121"/>
      <c r="F150" s="122"/>
      <c r="G150" s="15">
        <f t="shared" si="2"/>
        <v>0</v>
      </c>
    </row>
    <row r="151" spans="1:7" x14ac:dyDescent="0.25">
      <c r="A151" s="99" t="s">
        <v>303</v>
      </c>
      <c r="B151" s="1" t="s">
        <v>304</v>
      </c>
      <c r="C151" s="11">
        <v>0</v>
      </c>
      <c r="D151" s="121"/>
      <c r="E151" s="121"/>
      <c r="F151" s="122"/>
      <c r="G151" s="15">
        <f t="shared" si="2"/>
        <v>0</v>
      </c>
    </row>
    <row r="152" spans="1:7" x14ac:dyDescent="0.25">
      <c r="A152" s="99" t="s">
        <v>305</v>
      </c>
      <c r="B152" s="1" t="s">
        <v>306</v>
      </c>
      <c r="C152" s="11">
        <v>0</v>
      </c>
      <c r="D152" s="121"/>
      <c r="E152" s="121"/>
      <c r="F152" s="122"/>
      <c r="G152" s="15">
        <f t="shared" si="2"/>
        <v>0</v>
      </c>
    </row>
    <row r="153" spans="1:7" x14ac:dyDescent="0.25">
      <c r="A153" s="99" t="s">
        <v>307</v>
      </c>
      <c r="B153" s="1" t="s">
        <v>308</v>
      </c>
      <c r="C153" s="11">
        <v>0</v>
      </c>
      <c r="D153" s="121"/>
      <c r="E153" s="121"/>
      <c r="F153" s="122"/>
      <c r="G153" s="15">
        <f t="shared" si="2"/>
        <v>0</v>
      </c>
    </row>
    <row r="154" spans="1:7" x14ac:dyDescent="0.25">
      <c r="A154" s="99" t="s">
        <v>309</v>
      </c>
      <c r="B154" s="1" t="s">
        <v>310</v>
      </c>
      <c r="C154" s="11">
        <v>0</v>
      </c>
      <c r="D154" s="121"/>
      <c r="E154" s="121"/>
      <c r="F154" s="122"/>
      <c r="G154" s="15">
        <f t="shared" si="2"/>
        <v>0</v>
      </c>
    </row>
    <row r="155" spans="1:7" x14ac:dyDescent="0.25">
      <c r="A155" s="99" t="s">
        <v>311</v>
      </c>
      <c r="B155" s="1" t="s">
        <v>312</v>
      </c>
      <c r="C155" s="11">
        <v>0</v>
      </c>
      <c r="D155" s="121"/>
      <c r="E155" s="121"/>
      <c r="F155" s="122"/>
      <c r="G155" s="15">
        <f t="shared" si="2"/>
        <v>0</v>
      </c>
    </row>
    <row r="156" spans="1:7" x14ac:dyDescent="0.25">
      <c r="A156" s="99" t="s">
        <v>313</v>
      </c>
      <c r="B156" s="1" t="s">
        <v>314</v>
      </c>
      <c r="C156" s="11">
        <v>0</v>
      </c>
      <c r="D156" s="121"/>
      <c r="E156" s="121"/>
      <c r="F156" s="122"/>
      <c r="G156" s="15">
        <f t="shared" si="2"/>
        <v>0</v>
      </c>
    </row>
    <row r="157" spans="1:7" x14ac:dyDescent="0.25">
      <c r="A157" s="99" t="s">
        <v>315</v>
      </c>
      <c r="B157" s="1" t="s">
        <v>316</v>
      </c>
      <c r="C157" s="11">
        <v>1000</v>
      </c>
      <c r="D157" s="121">
        <v>5360408</v>
      </c>
      <c r="E157" s="121" t="s">
        <v>316</v>
      </c>
      <c r="F157" s="122">
        <v>1000</v>
      </c>
      <c r="G157" s="15">
        <f t="shared" si="2"/>
        <v>0</v>
      </c>
    </row>
    <row r="158" spans="1:7" x14ac:dyDescent="0.25">
      <c r="A158" s="99" t="s">
        <v>317</v>
      </c>
      <c r="B158" s="1" t="s">
        <v>223</v>
      </c>
      <c r="C158" s="11">
        <v>1000</v>
      </c>
      <c r="D158" s="121">
        <v>5360409</v>
      </c>
      <c r="E158" s="121" t="s">
        <v>223</v>
      </c>
      <c r="F158" s="122">
        <v>1000</v>
      </c>
      <c r="G158" s="15">
        <f t="shared" si="2"/>
        <v>0</v>
      </c>
    </row>
    <row r="159" spans="1:7" x14ac:dyDescent="0.25">
      <c r="A159" s="99" t="s">
        <v>318</v>
      </c>
      <c r="B159" s="1" t="s">
        <v>319</v>
      </c>
      <c r="C159" s="11">
        <v>2000</v>
      </c>
      <c r="D159" s="121">
        <v>5360410</v>
      </c>
      <c r="E159" s="121" t="s">
        <v>319</v>
      </c>
      <c r="F159" s="122">
        <v>2000</v>
      </c>
      <c r="G159" s="15">
        <f t="shared" si="2"/>
        <v>0</v>
      </c>
    </row>
    <row r="160" spans="1:7" x14ac:dyDescent="0.25">
      <c r="A160" s="99" t="s">
        <v>320</v>
      </c>
      <c r="B160" s="1" t="s">
        <v>321</v>
      </c>
      <c r="C160" s="11">
        <v>1000</v>
      </c>
      <c r="D160" s="121">
        <v>5360411</v>
      </c>
      <c r="E160" s="121" t="s">
        <v>321</v>
      </c>
      <c r="F160" s="122">
        <v>1000</v>
      </c>
      <c r="G160" s="15">
        <f t="shared" si="2"/>
        <v>0</v>
      </c>
    </row>
    <row r="161" spans="1:7" x14ac:dyDescent="0.25">
      <c r="A161" s="99" t="s">
        <v>322</v>
      </c>
      <c r="B161" s="1" t="s">
        <v>323</v>
      </c>
      <c r="C161" s="11">
        <v>10000000</v>
      </c>
      <c r="D161" s="121">
        <v>5360412</v>
      </c>
      <c r="E161" s="121" t="s">
        <v>323</v>
      </c>
      <c r="F161" s="122">
        <v>10000000</v>
      </c>
      <c r="G161" s="15">
        <f t="shared" si="2"/>
        <v>0</v>
      </c>
    </row>
    <row r="162" spans="1:7" x14ac:dyDescent="0.25">
      <c r="A162" s="99" t="s">
        <v>324</v>
      </c>
      <c r="B162" s="1" t="s">
        <v>325</v>
      </c>
      <c r="C162" s="11">
        <v>1000</v>
      </c>
      <c r="D162" s="121">
        <v>5360413</v>
      </c>
      <c r="E162" s="121" t="s">
        <v>325</v>
      </c>
      <c r="F162" s="122">
        <v>1000</v>
      </c>
      <c r="G162" s="15">
        <f t="shared" si="2"/>
        <v>0</v>
      </c>
    </row>
    <row r="163" spans="1:7" x14ac:dyDescent="0.25">
      <c r="A163" s="99" t="s">
        <v>326</v>
      </c>
      <c r="B163" s="1" t="s">
        <v>327</v>
      </c>
      <c r="C163" s="11">
        <v>1000</v>
      </c>
      <c r="D163" s="121">
        <v>5360414</v>
      </c>
      <c r="E163" s="121" t="s">
        <v>327</v>
      </c>
      <c r="F163" s="122">
        <v>1000</v>
      </c>
      <c r="G163" s="15">
        <f t="shared" si="2"/>
        <v>0</v>
      </c>
    </row>
    <row r="164" spans="1:7" x14ac:dyDescent="0.25">
      <c r="A164" s="99" t="s">
        <v>328</v>
      </c>
      <c r="B164" s="1" t="s">
        <v>329</v>
      </c>
      <c r="C164" s="11">
        <v>30000000</v>
      </c>
      <c r="D164" s="121">
        <v>5360415</v>
      </c>
      <c r="E164" s="121" t="s">
        <v>329</v>
      </c>
      <c r="F164" s="122">
        <v>30000000</v>
      </c>
      <c r="G164" s="15">
        <f t="shared" si="2"/>
        <v>0</v>
      </c>
    </row>
    <row r="165" spans="1:7" x14ac:dyDescent="0.25">
      <c r="A165" s="4" t="s">
        <v>330</v>
      </c>
      <c r="B165" s="5" t="s">
        <v>331</v>
      </c>
      <c r="C165" s="10">
        <v>1502853351</v>
      </c>
      <c r="D165" s="121">
        <v>53606</v>
      </c>
      <c r="E165" s="121" t="s">
        <v>331</v>
      </c>
      <c r="F165" s="122">
        <v>1579853355</v>
      </c>
      <c r="G165" s="15">
        <f t="shared" si="2"/>
        <v>77000004</v>
      </c>
    </row>
    <row r="166" spans="1:7" x14ac:dyDescent="0.25">
      <c r="A166" s="4" t="s">
        <v>332</v>
      </c>
      <c r="B166" s="5" t="s">
        <v>70</v>
      </c>
      <c r="C166" s="10">
        <v>108982400</v>
      </c>
      <c r="D166" s="121">
        <v>5360601</v>
      </c>
      <c r="E166" s="121" t="s">
        <v>70</v>
      </c>
      <c r="F166" s="122">
        <v>108982403</v>
      </c>
      <c r="G166" s="15">
        <f t="shared" si="2"/>
        <v>3</v>
      </c>
    </row>
    <row r="167" spans="1:7" x14ac:dyDescent="0.25">
      <c r="A167" s="99" t="s">
        <v>333</v>
      </c>
      <c r="B167" s="1" t="s">
        <v>334</v>
      </c>
      <c r="C167" s="11">
        <v>75197856</v>
      </c>
      <c r="D167" s="121">
        <v>536060101</v>
      </c>
      <c r="E167" s="121" t="s">
        <v>334</v>
      </c>
      <c r="F167" s="122">
        <v>75197857</v>
      </c>
      <c r="G167" s="15">
        <f t="shared" si="2"/>
        <v>1</v>
      </c>
    </row>
    <row r="168" spans="1:7" x14ac:dyDescent="0.25">
      <c r="A168" s="99" t="s">
        <v>335</v>
      </c>
      <c r="B168" s="1" t="s">
        <v>336</v>
      </c>
      <c r="C168" s="11">
        <v>22886304</v>
      </c>
      <c r="D168" s="121">
        <v>536060102</v>
      </c>
      <c r="E168" s="121" t="s">
        <v>336</v>
      </c>
      <c r="F168" s="122">
        <v>22886305</v>
      </c>
      <c r="G168" s="15">
        <f t="shared" si="2"/>
        <v>1</v>
      </c>
    </row>
    <row r="169" spans="1:7" x14ac:dyDescent="0.25">
      <c r="A169" s="99" t="s">
        <v>337</v>
      </c>
      <c r="B169" s="1" t="s">
        <v>338</v>
      </c>
      <c r="C169" s="11">
        <v>10898240</v>
      </c>
      <c r="D169" s="121">
        <v>536060103</v>
      </c>
      <c r="E169" s="121" t="s">
        <v>338</v>
      </c>
      <c r="F169" s="122">
        <v>10898241</v>
      </c>
      <c r="G169" s="15">
        <f t="shared" si="2"/>
        <v>1</v>
      </c>
    </row>
    <row r="170" spans="1:7" x14ac:dyDescent="0.25">
      <c r="A170" s="4" t="s">
        <v>339</v>
      </c>
      <c r="B170" s="5" t="s">
        <v>340</v>
      </c>
      <c r="C170" s="10">
        <v>5000000</v>
      </c>
      <c r="D170" s="121">
        <v>5360602</v>
      </c>
      <c r="E170" s="121" t="s">
        <v>340</v>
      </c>
      <c r="F170" s="122">
        <v>5000000</v>
      </c>
      <c r="G170" s="15">
        <f t="shared" si="2"/>
        <v>0</v>
      </c>
    </row>
    <row r="171" spans="1:7" x14ac:dyDescent="0.25">
      <c r="A171" s="99" t="s">
        <v>341</v>
      </c>
      <c r="B171" s="1" t="s">
        <v>342</v>
      </c>
      <c r="C171" s="11">
        <v>5000000</v>
      </c>
      <c r="D171" s="121">
        <v>536060201</v>
      </c>
      <c r="E171" s="121" t="s">
        <v>342</v>
      </c>
      <c r="F171" s="122">
        <v>5000000</v>
      </c>
      <c r="G171" s="15">
        <f t="shared" si="2"/>
        <v>0</v>
      </c>
    </row>
    <row r="172" spans="1:7" x14ac:dyDescent="0.25">
      <c r="A172" s="4" t="s">
        <v>343</v>
      </c>
      <c r="B172" s="5" t="s">
        <v>344</v>
      </c>
      <c r="C172" s="10">
        <v>128200000</v>
      </c>
      <c r="D172" s="121">
        <v>5360603</v>
      </c>
      <c r="E172" s="121" t="s">
        <v>344</v>
      </c>
      <c r="F172" s="122">
        <v>128200000</v>
      </c>
      <c r="G172" s="15">
        <f t="shared" si="2"/>
        <v>0</v>
      </c>
    </row>
    <row r="173" spans="1:7" x14ac:dyDescent="0.25">
      <c r="A173" s="99" t="s">
        <v>345</v>
      </c>
      <c r="B173" s="1" t="s">
        <v>346</v>
      </c>
      <c r="C173" s="11">
        <v>17948000</v>
      </c>
      <c r="D173" s="121">
        <v>536060301</v>
      </c>
      <c r="E173" s="121" t="s">
        <v>346</v>
      </c>
      <c r="F173" s="122">
        <v>17948000</v>
      </c>
      <c r="G173" s="15">
        <f t="shared" si="2"/>
        <v>0</v>
      </c>
    </row>
    <row r="174" spans="1:7" x14ac:dyDescent="0.25">
      <c r="A174" s="99" t="s">
        <v>347</v>
      </c>
      <c r="B174" s="1" t="s">
        <v>348</v>
      </c>
      <c r="C174" s="11">
        <v>20512000</v>
      </c>
      <c r="D174" s="121">
        <v>536060302</v>
      </c>
      <c r="E174" s="121" t="s">
        <v>348</v>
      </c>
      <c r="F174" s="122">
        <v>20512000</v>
      </c>
      <c r="G174" s="15">
        <f t="shared" si="2"/>
        <v>0</v>
      </c>
    </row>
    <row r="175" spans="1:7" x14ac:dyDescent="0.25">
      <c r="A175" s="99" t="s">
        <v>349</v>
      </c>
      <c r="B175" s="1" t="s">
        <v>350</v>
      </c>
      <c r="C175" s="11">
        <v>17948000</v>
      </c>
      <c r="D175" s="121">
        <v>536060303</v>
      </c>
      <c r="E175" s="121" t="s">
        <v>350</v>
      </c>
      <c r="F175" s="122">
        <v>17948000</v>
      </c>
      <c r="G175" s="15">
        <f t="shared" si="2"/>
        <v>0</v>
      </c>
    </row>
    <row r="176" spans="1:7" x14ac:dyDescent="0.25">
      <c r="A176" s="99" t="s">
        <v>351</v>
      </c>
      <c r="B176" s="1" t="s">
        <v>352</v>
      </c>
      <c r="C176" s="11">
        <v>20512000</v>
      </c>
      <c r="D176" s="121">
        <v>536060304</v>
      </c>
      <c r="E176" s="121" t="s">
        <v>352</v>
      </c>
      <c r="F176" s="122">
        <v>20512000</v>
      </c>
      <c r="G176" s="15">
        <f t="shared" si="2"/>
        <v>0</v>
      </c>
    </row>
    <row r="177" spans="1:7" x14ac:dyDescent="0.25">
      <c r="A177" s="99" t="s">
        <v>353</v>
      </c>
      <c r="B177" s="1" t="s">
        <v>354</v>
      </c>
      <c r="C177" s="11">
        <v>44870000</v>
      </c>
      <c r="D177" s="121">
        <v>536060305</v>
      </c>
      <c r="E177" s="121" t="s">
        <v>354</v>
      </c>
      <c r="F177" s="122">
        <v>44870000</v>
      </c>
      <c r="G177" s="15">
        <f t="shared" si="2"/>
        <v>0</v>
      </c>
    </row>
    <row r="178" spans="1:7" x14ac:dyDescent="0.25">
      <c r="A178" s="99" t="s">
        <v>355</v>
      </c>
      <c r="B178" s="1" t="s">
        <v>356</v>
      </c>
      <c r="C178" s="11">
        <v>6410000</v>
      </c>
      <c r="D178" s="121">
        <v>536060306</v>
      </c>
      <c r="E178" s="121" t="s">
        <v>356</v>
      </c>
      <c r="F178" s="122">
        <v>6410000</v>
      </c>
      <c r="G178" s="15">
        <f t="shared" si="2"/>
        <v>0</v>
      </c>
    </row>
    <row r="179" spans="1:7" x14ac:dyDescent="0.25">
      <c r="A179" s="99" t="s">
        <v>357</v>
      </c>
      <c r="B179" s="1" t="s">
        <v>358</v>
      </c>
      <c r="C179" s="11">
        <v>0</v>
      </c>
      <c r="D179" s="121"/>
      <c r="E179" s="121"/>
      <c r="F179" s="122"/>
      <c r="G179" s="15">
        <f t="shared" si="2"/>
        <v>0</v>
      </c>
    </row>
    <row r="180" spans="1:7" x14ac:dyDescent="0.25">
      <c r="A180" s="4" t="s">
        <v>359</v>
      </c>
      <c r="B180" s="5" t="s">
        <v>88</v>
      </c>
      <c r="C180" s="10">
        <v>45000000</v>
      </c>
      <c r="D180" s="121">
        <v>5360604</v>
      </c>
      <c r="E180" s="121" t="s">
        <v>88</v>
      </c>
      <c r="F180" s="122">
        <v>45000000</v>
      </c>
      <c r="G180" s="15">
        <f t="shared" si="2"/>
        <v>0</v>
      </c>
    </row>
    <row r="181" spans="1:7" x14ac:dyDescent="0.25">
      <c r="A181" s="99" t="s">
        <v>360</v>
      </c>
      <c r="B181" s="1" t="s">
        <v>334</v>
      </c>
      <c r="C181" s="11">
        <v>45000000</v>
      </c>
      <c r="D181" s="121">
        <v>536060401</v>
      </c>
      <c r="E181" s="121" t="s">
        <v>334</v>
      </c>
      <c r="F181" s="122">
        <v>45000000</v>
      </c>
      <c r="G181" s="15">
        <f t="shared" si="2"/>
        <v>0</v>
      </c>
    </row>
    <row r="182" spans="1:7" x14ac:dyDescent="0.25">
      <c r="A182" s="4" t="s">
        <v>361</v>
      </c>
      <c r="B182" s="5" t="s">
        <v>98</v>
      </c>
      <c r="C182" s="10">
        <v>332000000</v>
      </c>
      <c r="D182" s="121">
        <v>5360605</v>
      </c>
      <c r="E182" s="121" t="s">
        <v>98</v>
      </c>
      <c r="F182" s="122">
        <v>332000000</v>
      </c>
      <c r="G182" s="15">
        <f t="shared" si="2"/>
        <v>0</v>
      </c>
    </row>
    <row r="183" spans="1:7" x14ac:dyDescent="0.25">
      <c r="A183" s="99" t="s">
        <v>362</v>
      </c>
      <c r="B183" s="1" t="s">
        <v>334</v>
      </c>
      <c r="C183" s="11">
        <v>185920000</v>
      </c>
      <c r="D183" s="121">
        <v>536060501</v>
      </c>
      <c r="E183" s="121" t="s">
        <v>334</v>
      </c>
      <c r="F183" s="122">
        <v>185920000</v>
      </c>
      <c r="G183" s="15">
        <f t="shared" si="2"/>
        <v>0</v>
      </c>
    </row>
    <row r="184" spans="1:7" x14ac:dyDescent="0.25">
      <c r="A184" s="99" t="s">
        <v>363</v>
      </c>
      <c r="B184" s="1" t="s">
        <v>364</v>
      </c>
      <c r="C184" s="11">
        <v>146080000</v>
      </c>
      <c r="D184" s="121">
        <v>536060502</v>
      </c>
      <c r="E184" s="121" t="s">
        <v>364</v>
      </c>
      <c r="F184" s="122">
        <v>146080000</v>
      </c>
      <c r="G184" s="15">
        <f t="shared" si="2"/>
        <v>0</v>
      </c>
    </row>
    <row r="185" spans="1:7" x14ac:dyDescent="0.25">
      <c r="A185" s="4" t="s">
        <v>365</v>
      </c>
      <c r="B185" s="5" t="s">
        <v>110</v>
      </c>
      <c r="C185" s="10">
        <v>20000000</v>
      </c>
      <c r="D185" s="121">
        <v>5360606</v>
      </c>
      <c r="E185" s="121" t="s">
        <v>110</v>
      </c>
      <c r="F185" s="122">
        <v>20000000</v>
      </c>
      <c r="G185" s="15">
        <f t="shared" si="2"/>
        <v>0</v>
      </c>
    </row>
    <row r="186" spans="1:7" x14ac:dyDescent="0.25">
      <c r="A186" s="99" t="s">
        <v>366</v>
      </c>
      <c r="B186" s="1" t="s">
        <v>354</v>
      </c>
      <c r="C186" s="11">
        <v>15000000</v>
      </c>
      <c r="D186" s="121">
        <v>536060601</v>
      </c>
      <c r="E186" s="121" t="s">
        <v>354</v>
      </c>
      <c r="F186" s="122">
        <v>15000000</v>
      </c>
      <c r="G186" s="15">
        <f t="shared" si="2"/>
        <v>0</v>
      </c>
    </row>
    <row r="187" spans="1:7" x14ac:dyDescent="0.25">
      <c r="A187" s="99" t="s">
        <v>367</v>
      </c>
      <c r="B187" s="1" t="s">
        <v>368</v>
      </c>
      <c r="C187" s="11">
        <v>5000000</v>
      </c>
      <c r="D187" s="121">
        <v>536060603</v>
      </c>
      <c r="E187" s="121" t="s">
        <v>368</v>
      </c>
      <c r="F187" s="122">
        <v>5000000</v>
      </c>
      <c r="G187" s="15">
        <f t="shared" si="2"/>
        <v>0</v>
      </c>
    </row>
    <row r="188" spans="1:7" x14ac:dyDescent="0.25">
      <c r="A188" s="4" t="s">
        <v>369</v>
      </c>
      <c r="B188" s="5" t="s">
        <v>122</v>
      </c>
      <c r="C188" s="10">
        <v>157000000</v>
      </c>
      <c r="D188" s="121">
        <v>5360607</v>
      </c>
      <c r="E188" s="121" t="s">
        <v>122</v>
      </c>
      <c r="F188" s="122">
        <v>157000000</v>
      </c>
      <c r="G188" s="15">
        <f t="shared" si="2"/>
        <v>0</v>
      </c>
    </row>
    <row r="189" spans="1:7" x14ac:dyDescent="0.25">
      <c r="A189" s="99" t="s">
        <v>370</v>
      </c>
      <c r="B189" s="1" t="s">
        <v>371</v>
      </c>
      <c r="C189" s="11">
        <v>80000000</v>
      </c>
      <c r="D189" s="121">
        <v>536060701</v>
      </c>
      <c r="E189" s="121" t="s">
        <v>371</v>
      </c>
      <c r="F189" s="122">
        <v>31400000</v>
      </c>
      <c r="G189" s="15">
        <f t="shared" si="2"/>
        <v>-48600000</v>
      </c>
    </row>
    <row r="190" spans="1:7" x14ac:dyDescent="0.25">
      <c r="A190" s="99" t="s">
        <v>372</v>
      </c>
      <c r="B190" s="1" t="s">
        <v>373</v>
      </c>
      <c r="C190" s="11">
        <v>54950000</v>
      </c>
      <c r="D190" s="121">
        <v>536060702</v>
      </c>
      <c r="E190" s="121" t="s">
        <v>373</v>
      </c>
      <c r="F190" s="122">
        <v>54950000</v>
      </c>
      <c r="G190" s="15">
        <f t="shared" si="2"/>
        <v>0</v>
      </c>
    </row>
    <row r="191" spans="1:7" x14ac:dyDescent="0.25">
      <c r="A191" s="99" t="s">
        <v>374</v>
      </c>
      <c r="B191" s="1" t="s">
        <v>354</v>
      </c>
      <c r="C191" s="11">
        <v>22050000</v>
      </c>
      <c r="D191" s="121">
        <v>536060703</v>
      </c>
      <c r="E191" s="121" t="s">
        <v>354</v>
      </c>
      <c r="F191" s="122">
        <v>70650000</v>
      </c>
      <c r="G191" s="15">
        <f t="shared" si="2"/>
        <v>48600000</v>
      </c>
    </row>
    <row r="192" spans="1:7" x14ac:dyDescent="0.25">
      <c r="A192" s="4" t="s">
        <v>375</v>
      </c>
      <c r="B192" s="5" t="s">
        <v>128</v>
      </c>
      <c r="C192" s="10">
        <v>80000000</v>
      </c>
      <c r="D192" s="121">
        <v>5360608</v>
      </c>
      <c r="E192" s="121" t="s">
        <v>128</v>
      </c>
      <c r="F192" s="122">
        <v>80000000</v>
      </c>
      <c r="G192" s="15">
        <f t="shared" si="2"/>
        <v>0</v>
      </c>
    </row>
    <row r="193" spans="1:7" x14ac:dyDescent="0.25">
      <c r="A193" s="99" t="s">
        <v>376</v>
      </c>
      <c r="B193" s="1" t="s">
        <v>377</v>
      </c>
      <c r="C193" s="11">
        <v>12800000</v>
      </c>
      <c r="D193" s="121">
        <v>536060804</v>
      </c>
      <c r="E193" s="121" t="s">
        <v>377</v>
      </c>
      <c r="F193" s="122">
        <v>12800000</v>
      </c>
      <c r="G193" s="15">
        <f t="shared" si="2"/>
        <v>0</v>
      </c>
    </row>
    <row r="194" spans="1:7" x14ac:dyDescent="0.25">
      <c r="A194" s="99" t="s">
        <v>378</v>
      </c>
      <c r="B194" s="1" t="s">
        <v>354</v>
      </c>
      <c r="C194" s="11">
        <v>67200000</v>
      </c>
      <c r="D194" s="121">
        <v>536060807</v>
      </c>
      <c r="E194" s="121" t="s">
        <v>354</v>
      </c>
      <c r="F194" s="122">
        <v>67200000</v>
      </c>
      <c r="G194" s="15">
        <f t="shared" si="2"/>
        <v>0</v>
      </c>
    </row>
    <row r="195" spans="1:7" x14ac:dyDescent="0.25">
      <c r="A195" s="4" t="s">
        <v>379</v>
      </c>
      <c r="B195" s="5" t="s">
        <v>380</v>
      </c>
      <c r="C195" s="10">
        <v>47000000</v>
      </c>
      <c r="D195" s="121">
        <v>5360609</v>
      </c>
      <c r="E195" s="121" t="s">
        <v>380</v>
      </c>
      <c r="F195" s="122">
        <v>47000000</v>
      </c>
      <c r="G195" s="15">
        <f t="shared" ref="G195:G258" si="3">+F195-C195</f>
        <v>0</v>
      </c>
    </row>
    <row r="196" spans="1:7" x14ac:dyDescent="0.25">
      <c r="A196" s="99" t="s">
        <v>381</v>
      </c>
      <c r="B196" s="1" t="s">
        <v>334</v>
      </c>
      <c r="C196" s="11">
        <v>18800000</v>
      </c>
      <c r="D196" s="121">
        <v>536060901</v>
      </c>
      <c r="E196" s="121" t="s">
        <v>334</v>
      </c>
      <c r="F196" s="122">
        <v>18800000</v>
      </c>
      <c r="G196" s="15">
        <f t="shared" si="3"/>
        <v>0</v>
      </c>
    </row>
    <row r="197" spans="1:7" x14ac:dyDescent="0.25">
      <c r="A197" s="99" t="s">
        <v>382</v>
      </c>
      <c r="B197" s="1" t="s">
        <v>354</v>
      </c>
      <c r="C197" s="11">
        <v>28200000</v>
      </c>
      <c r="D197" s="121">
        <v>536060902</v>
      </c>
      <c r="E197" s="121" t="s">
        <v>354</v>
      </c>
      <c r="F197" s="122">
        <v>28200000</v>
      </c>
      <c r="G197" s="15">
        <f t="shared" si="3"/>
        <v>0</v>
      </c>
    </row>
    <row r="198" spans="1:7" x14ac:dyDescent="0.25">
      <c r="A198" s="4" t="s">
        <v>383</v>
      </c>
      <c r="B198" s="5" t="s">
        <v>136</v>
      </c>
      <c r="C198" s="10">
        <v>656670951</v>
      </c>
      <c r="D198" s="121">
        <v>5360610</v>
      </c>
      <c r="E198" s="121" t="s">
        <v>136</v>
      </c>
      <c r="F198" s="122">
        <v>656670952</v>
      </c>
      <c r="G198" s="15">
        <f t="shared" si="3"/>
        <v>1</v>
      </c>
    </row>
    <row r="199" spans="1:7" x14ac:dyDescent="0.25">
      <c r="A199" s="99" t="s">
        <v>384</v>
      </c>
      <c r="B199" s="1" t="s">
        <v>334</v>
      </c>
      <c r="C199" s="11">
        <v>656670951</v>
      </c>
      <c r="D199" s="121">
        <v>536061001</v>
      </c>
      <c r="E199" s="121" t="s">
        <v>334</v>
      </c>
      <c r="F199" s="122">
        <v>656670952</v>
      </c>
      <c r="G199" s="15">
        <f t="shared" si="3"/>
        <v>1</v>
      </c>
    </row>
    <row r="200" spans="1:7" x14ac:dyDescent="0.25">
      <c r="A200" s="4" t="s">
        <v>385</v>
      </c>
      <c r="B200" s="5" t="s">
        <v>386</v>
      </c>
      <c r="C200" s="10">
        <v>1000</v>
      </c>
      <c r="D200" s="121">
        <v>53607</v>
      </c>
      <c r="E200" s="121" t="s">
        <v>386</v>
      </c>
      <c r="F200" s="122">
        <v>1000</v>
      </c>
      <c r="G200" s="15">
        <f t="shared" si="3"/>
        <v>0</v>
      </c>
    </row>
    <row r="201" spans="1:7" x14ac:dyDescent="0.25">
      <c r="A201" s="4" t="s">
        <v>387</v>
      </c>
      <c r="B201" s="5" t="s">
        <v>388</v>
      </c>
      <c r="C201" s="10">
        <v>0</v>
      </c>
      <c r="D201" s="121">
        <v>5360705</v>
      </c>
      <c r="E201" s="121" t="s">
        <v>98</v>
      </c>
      <c r="F201" s="122">
        <v>0</v>
      </c>
      <c r="G201" s="15">
        <f t="shared" si="3"/>
        <v>0</v>
      </c>
    </row>
    <row r="202" spans="1:7" x14ac:dyDescent="0.25">
      <c r="A202" s="99" t="s">
        <v>389</v>
      </c>
      <c r="B202" s="1" t="s">
        <v>390</v>
      </c>
      <c r="C202" s="11">
        <v>0</v>
      </c>
      <c r="D202" s="121">
        <v>536070501</v>
      </c>
      <c r="E202" s="121" t="s">
        <v>400</v>
      </c>
      <c r="F202" s="122">
        <v>0</v>
      </c>
      <c r="G202" s="15">
        <f t="shared" si="3"/>
        <v>0</v>
      </c>
    </row>
    <row r="203" spans="1:7" x14ac:dyDescent="0.25">
      <c r="A203" s="99" t="s">
        <v>391</v>
      </c>
      <c r="B203" s="1" t="s">
        <v>392</v>
      </c>
      <c r="C203" s="11">
        <v>0</v>
      </c>
      <c r="D203" s="121"/>
      <c r="E203" s="121"/>
      <c r="F203" s="122"/>
      <c r="G203" s="15">
        <f t="shared" si="3"/>
        <v>0</v>
      </c>
    </row>
    <row r="204" spans="1:7" x14ac:dyDescent="0.25">
      <c r="A204" s="99" t="s">
        <v>393</v>
      </c>
      <c r="B204" s="1" t="s">
        <v>394</v>
      </c>
      <c r="C204" s="11">
        <v>0</v>
      </c>
      <c r="D204" s="121"/>
      <c r="E204" s="121"/>
      <c r="F204" s="122"/>
      <c r="G204" s="15">
        <f t="shared" si="3"/>
        <v>0</v>
      </c>
    </row>
    <row r="205" spans="1:7" x14ac:dyDescent="0.25">
      <c r="A205" s="4" t="s">
        <v>395</v>
      </c>
      <c r="B205" s="5" t="s">
        <v>344</v>
      </c>
      <c r="C205" s="10">
        <v>0</v>
      </c>
      <c r="D205" s="121"/>
      <c r="E205" s="121"/>
      <c r="F205" s="122"/>
      <c r="G205" s="15">
        <f t="shared" si="3"/>
        <v>0</v>
      </c>
    </row>
    <row r="206" spans="1:7" x14ac:dyDescent="0.25">
      <c r="A206" s="99" t="s">
        <v>396</v>
      </c>
      <c r="B206" s="1" t="s">
        <v>397</v>
      </c>
      <c r="C206" s="11">
        <v>0</v>
      </c>
      <c r="D206" s="121"/>
      <c r="E206" s="121"/>
      <c r="F206" s="122"/>
      <c r="G206" s="15">
        <f t="shared" si="3"/>
        <v>0</v>
      </c>
    </row>
    <row r="207" spans="1:7" x14ac:dyDescent="0.25">
      <c r="A207" s="4" t="s">
        <v>398</v>
      </c>
      <c r="B207" s="5" t="s">
        <v>98</v>
      </c>
      <c r="C207" s="10">
        <v>0</v>
      </c>
      <c r="D207" s="121"/>
      <c r="E207" s="121"/>
      <c r="F207" s="122"/>
      <c r="G207" s="15">
        <f t="shared" si="3"/>
        <v>0</v>
      </c>
    </row>
    <row r="208" spans="1:7" x14ac:dyDescent="0.25">
      <c r="A208" s="99" t="s">
        <v>399</v>
      </c>
      <c r="B208" s="1" t="s">
        <v>400</v>
      </c>
      <c r="C208" s="11">
        <v>0</v>
      </c>
      <c r="D208" s="121"/>
      <c r="E208" s="121"/>
      <c r="F208" s="122"/>
      <c r="G208" s="15">
        <f t="shared" si="3"/>
        <v>0</v>
      </c>
    </row>
    <row r="209" spans="1:7" x14ac:dyDescent="0.25">
      <c r="A209" s="99" t="s">
        <v>401</v>
      </c>
      <c r="B209" s="1" t="s">
        <v>402</v>
      </c>
      <c r="C209" s="11">
        <v>0</v>
      </c>
      <c r="D209" s="121"/>
      <c r="E209" s="121"/>
      <c r="F209" s="122"/>
      <c r="G209" s="15">
        <f t="shared" si="3"/>
        <v>0</v>
      </c>
    </row>
    <row r="210" spans="1:7" x14ac:dyDescent="0.25">
      <c r="A210" s="99" t="s">
        <v>403</v>
      </c>
      <c r="B210" s="1" t="s">
        <v>404</v>
      </c>
      <c r="C210" s="11">
        <v>0</v>
      </c>
      <c r="D210" s="121"/>
      <c r="E210" s="121"/>
      <c r="F210" s="122"/>
      <c r="G210" s="15">
        <f t="shared" si="3"/>
        <v>0</v>
      </c>
    </row>
    <row r="211" spans="1:7" x14ac:dyDescent="0.25">
      <c r="A211" s="4" t="s">
        <v>405</v>
      </c>
      <c r="B211" s="5" t="s">
        <v>128</v>
      </c>
      <c r="C211" s="10">
        <v>0</v>
      </c>
      <c r="D211" s="121"/>
      <c r="E211" s="121"/>
      <c r="F211" s="122"/>
      <c r="G211" s="15">
        <f t="shared" si="3"/>
        <v>0</v>
      </c>
    </row>
    <row r="212" spans="1:7" x14ac:dyDescent="0.25">
      <c r="A212" s="99" t="s">
        <v>406</v>
      </c>
      <c r="B212" s="1" t="s">
        <v>407</v>
      </c>
      <c r="C212" s="11">
        <v>0</v>
      </c>
      <c r="D212" s="121"/>
      <c r="E212" s="121"/>
      <c r="F212" s="122"/>
      <c r="G212" s="15">
        <f t="shared" si="3"/>
        <v>0</v>
      </c>
    </row>
    <row r="213" spans="1:7" x14ac:dyDescent="0.25">
      <c r="A213" s="99" t="s">
        <v>408</v>
      </c>
      <c r="B213" s="1" t="s">
        <v>409</v>
      </c>
      <c r="C213" s="11">
        <v>0</v>
      </c>
      <c r="D213" s="121"/>
      <c r="E213" s="121"/>
      <c r="F213" s="122"/>
      <c r="G213" s="15">
        <f t="shared" si="3"/>
        <v>0</v>
      </c>
    </row>
    <row r="214" spans="1:7" x14ac:dyDescent="0.25">
      <c r="A214" s="4" t="s">
        <v>410</v>
      </c>
      <c r="B214" s="5" t="s">
        <v>411</v>
      </c>
      <c r="C214" s="10">
        <v>1000</v>
      </c>
      <c r="D214" s="121">
        <v>5360711</v>
      </c>
      <c r="E214" s="121" t="s">
        <v>411</v>
      </c>
      <c r="F214" s="122">
        <v>1000</v>
      </c>
      <c r="G214" s="15">
        <f t="shared" si="3"/>
        <v>0</v>
      </c>
    </row>
    <row r="215" spans="1:7" x14ac:dyDescent="0.25">
      <c r="A215" s="99" t="s">
        <v>412</v>
      </c>
      <c r="B215" s="1" t="s">
        <v>413</v>
      </c>
      <c r="C215" s="11">
        <v>0</v>
      </c>
      <c r="D215" s="121"/>
      <c r="E215" s="121"/>
      <c r="F215" s="122"/>
      <c r="G215" s="15">
        <f t="shared" si="3"/>
        <v>0</v>
      </c>
    </row>
    <row r="216" spans="1:7" x14ac:dyDescent="0.25">
      <c r="A216" s="99" t="s">
        <v>414</v>
      </c>
      <c r="B216" s="1" t="s">
        <v>415</v>
      </c>
      <c r="C216" s="11">
        <v>0</v>
      </c>
      <c r="D216" s="121"/>
      <c r="E216" s="121"/>
      <c r="F216" s="122"/>
      <c r="G216" s="15">
        <f t="shared" si="3"/>
        <v>0</v>
      </c>
    </row>
    <row r="217" spans="1:7" x14ac:dyDescent="0.25">
      <c r="A217" s="99" t="s">
        <v>416</v>
      </c>
      <c r="B217" s="1" t="s">
        <v>417</v>
      </c>
      <c r="C217" s="11">
        <v>1000</v>
      </c>
      <c r="D217" s="121"/>
      <c r="E217" s="121"/>
      <c r="F217" s="122"/>
      <c r="G217" s="15">
        <f t="shared" si="3"/>
        <v>-1000</v>
      </c>
    </row>
    <row r="218" spans="1:7" x14ac:dyDescent="0.25">
      <c r="A218" s="99" t="s">
        <v>418</v>
      </c>
      <c r="B218" s="1" t="s">
        <v>419</v>
      </c>
      <c r="C218" s="11">
        <v>0</v>
      </c>
      <c r="D218" s="121"/>
      <c r="E218" s="121"/>
      <c r="F218" s="122"/>
      <c r="G218" s="15">
        <f t="shared" si="3"/>
        <v>0</v>
      </c>
    </row>
    <row r="219" spans="1:7" x14ac:dyDescent="0.25">
      <c r="A219" s="99" t="s">
        <v>420</v>
      </c>
      <c r="B219" s="1" t="s">
        <v>421</v>
      </c>
      <c r="C219" s="11">
        <v>5000000000</v>
      </c>
      <c r="D219" s="121">
        <v>53608</v>
      </c>
      <c r="E219" s="121" t="s">
        <v>421</v>
      </c>
      <c r="F219" s="122">
        <v>5000000000</v>
      </c>
      <c r="G219" s="15">
        <f t="shared" si="3"/>
        <v>0</v>
      </c>
    </row>
    <row r="220" spans="1:7" x14ac:dyDescent="0.25">
      <c r="A220" s="4" t="s">
        <v>422</v>
      </c>
      <c r="B220" s="5" t="s">
        <v>423</v>
      </c>
      <c r="C220" s="10">
        <v>8111129014</v>
      </c>
      <c r="D220" s="121">
        <v>53609</v>
      </c>
      <c r="E220" s="121" t="s">
        <v>423</v>
      </c>
      <c r="F220" s="122">
        <v>8111129014</v>
      </c>
      <c r="G220" s="15">
        <f t="shared" si="3"/>
        <v>0</v>
      </c>
    </row>
    <row r="221" spans="1:7" x14ac:dyDescent="0.25">
      <c r="A221" s="99" t="s">
        <v>424</v>
      </c>
      <c r="B221" s="1" t="s">
        <v>425</v>
      </c>
      <c r="C221" s="11">
        <v>1354336352</v>
      </c>
      <c r="D221" s="121">
        <v>5360901</v>
      </c>
      <c r="E221" s="121" t="s">
        <v>425</v>
      </c>
      <c r="F221" s="122">
        <v>1354336352</v>
      </c>
      <c r="G221" s="15">
        <f t="shared" si="3"/>
        <v>0</v>
      </c>
    </row>
    <row r="222" spans="1:7" x14ac:dyDescent="0.25">
      <c r="A222" s="99" t="s">
        <v>426</v>
      </c>
      <c r="B222" s="1" t="s">
        <v>427</v>
      </c>
      <c r="C222" s="11">
        <v>73000000</v>
      </c>
      <c r="D222" s="121">
        <v>5360902</v>
      </c>
      <c r="E222" s="121" t="s">
        <v>427</v>
      </c>
      <c r="F222" s="122">
        <v>73000000</v>
      </c>
      <c r="G222" s="15">
        <f t="shared" si="3"/>
        <v>0</v>
      </c>
    </row>
    <row r="223" spans="1:7" x14ac:dyDescent="0.25">
      <c r="A223" s="99" t="s">
        <v>428</v>
      </c>
      <c r="B223" s="1" t="s">
        <v>429</v>
      </c>
      <c r="C223" s="11">
        <v>230894200</v>
      </c>
      <c r="D223" s="121">
        <v>5360903</v>
      </c>
      <c r="E223" s="121" t="s">
        <v>429</v>
      </c>
      <c r="F223" s="122">
        <v>230894200</v>
      </c>
      <c r="G223" s="15">
        <f t="shared" si="3"/>
        <v>0</v>
      </c>
    </row>
    <row r="224" spans="1:7" x14ac:dyDescent="0.25">
      <c r="A224" s="99" t="s">
        <v>430</v>
      </c>
      <c r="B224" s="1" t="s">
        <v>431</v>
      </c>
      <c r="C224" s="11">
        <v>20000000</v>
      </c>
      <c r="D224" s="121">
        <v>5360904</v>
      </c>
      <c r="E224" s="121" t="s">
        <v>431</v>
      </c>
      <c r="F224" s="122">
        <v>20000000</v>
      </c>
      <c r="G224" s="15">
        <f t="shared" si="3"/>
        <v>0</v>
      </c>
    </row>
    <row r="225" spans="1:7" x14ac:dyDescent="0.25">
      <c r="A225" s="99" t="s">
        <v>432</v>
      </c>
      <c r="B225" s="1" t="s">
        <v>433</v>
      </c>
      <c r="C225" s="11">
        <v>112105800</v>
      </c>
      <c r="D225" s="121">
        <v>5360905</v>
      </c>
      <c r="E225" s="121" t="s">
        <v>433</v>
      </c>
      <c r="F225" s="122">
        <v>112105800</v>
      </c>
      <c r="G225" s="15">
        <f t="shared" si="3"/>
        <v>0</v>
      </c>
    </row>
    <row r="226" spans="1:7" x14ac:dyDescent="0.25">
      <c r="A226" s="99" t="s">
        <v>434</v>
      </c>
      <c r="B226" s="1" t="s">
        <v>435</v>
      </c>
      <c r="C226" s="11">
        <v>177000000</v>
      </c>
      <c r="D226" s="121">
        <v>5360906</v>
      </c>
      <c r="E226" s="121" t="s">
        <v>435</v>
      </c>
      <c r="F226" s="122">
        <v>177000000</v>
      </c>
      <c r="G226" s="15">
        <f t="shared" si="3"/>
        <v>0</v>
      </c>
    </row>
    <row r="227" spans="1:7" x14ac:dyDescent="0.25">
      <c r="A227" s="99" t="s">
        <v>436</v>
      </c>
      <c r="B227" s="1" t="s">
        <v>437</v>
      </c>
      <c r="C227" s="11">
        <v>208281900</v>
      </c>
      <c r="D227" s="121">
        <v>5360908</v>
      </c>
      <c r="E227" s="121" t="s">
        <v>437</v>
      </c>
      <c r="F227" s="122">
        <v>208281900</v>
      </c>
      <c r="G227" s="15">
        <f t="shared" si="3"/>
        <v>0</v>
      </c>
    </row>
    <row r="228" spans="1:7" x14ac:dyDescent="0.25">
      <c r="A228" s="99" t="s">
        <v>438</v>
      </c>
      <c r="B228" s="1" t="s">
        <v>439</v>
      </c>
      <c r="C228" s="11">
        <v>62000000</v>
      </c>
      <c r="D228" s="121">
        <v>5360909</v>
      </c>
      <c r="E228" s="121" t="s">
        <v>439</v>
      </c>
      <c r="F228" s="122">
        <v>62000000</v>
      </c>
      <c r="G228" s="15">
        <f t="shared" si="3"/>
        <v>0</v>
      </c>
    </row>
    <row r="229" spans="1:7" x14ac:dyDescent="0.25">
      <c r="A229" s="99" t="s">
        <v>440</v>
      </c>
      <c r="B229" s="1" t="s">
        <v>441</v>
      </c>
      <c r="C229" s="11">
        <v>16404500</v>
      </c>
      <c r="D229" s="121">
        <v>5360910</v>
      </c>
      <c r="E229" s="121" t="s">
        <v>441</v>
      </c>
      <c r="F229" s="122">
        <v>16404500</v>
      </c>
      <c r="G229" s="15">
        <f t="shared" si="3"/>
        <v>0</v>
      </c>
    </row>
    <row r="230" spans="1:7" x14ac:dyDescent="0.25">
      <c r="A230" s="99" t="s">
        <v>442</v>
      </c>
      <c r="B230" s="1" t="s">
        <v>443</v>
      </c>
      <c r="C230" s="11">
        <v>13700000</v>
      </c>
      <c r="D230" s="121">
        <v>5360911</v>
      </c>
      <c r="E230" s="121" t="s">
        <v>443</v>
      </c>
      <c r="F230" s="122">
        <v>13700000</v>
      </c>
      <c r="G230" s="15">
        <f t="shared" si="3"/>
        <v>0</v>
      </c>
    </row>
    <row r="231" spans="1:7" x14ac:dyDescent="0.25">
      <c r="A231" s="99" t="s">
        <v>444</v>
      </c>
      <c r="B231" s="1" t="s">
        <v>445</v>
      </c>
      <c r="C231" s="11">
        <v>13154160</v>
      </c>
      <c r="D231" s="121">
        <v>5360912</v>
      </c>
      <c r="E231" s="121" t="s">
        <v>445</v>
      </c>
      <c r="F231" s="122">
        <v>13154160</v>
      </c>
      <c r="G231" s="15">
        <f t="shared" si="3"/>
        <v>0</v>
      </c>
    </row>
    <row r="232" spans="1:7" x14ac:dyDescent="0.25">
      <c r="A232" s="99" t="s">
        <v>446</v>
      </c>
      <c r="B232" s="1" t="s">
        <v>447</v>
      </c>
      <c r="C232" s="11">
        <v>17906380</v>
      </c>
      <c r="D232" s="121">
        <v>5360913</v>
      </c>
      <c r="E232" s="121" t="s">
        <v>447</v>
      </c>
      <c r="F232" s="122">
        <v>17906380</v>
      </c>
      <c r="G232" s="15">
        <f t="shared" si="3"/>
        <v>0</v>
      </c>
    </row>
    <row r="233" spans="1:7" x14ac:dyDescent="0.25">
      <c r="A233" s="99" t="s">
        <v>448</v>
      </c>
      <c r="B233" s="1" t="s">
        <v>449</v>
      </c>
      <c r="C233" s="11">
        <v>18834960</v>
      </c>
      <c r="D233" s="121">
        <v>5360914</v>
      </c>
      <c r="E233" s="121" t="s">
        <v>449</v>
      </c>
      <c r="F233" s="122">
        <v>18834960</v>
      </c>
      <c r="G233" s="15">
        <f t="shared" si="3"/>
        <v>0</v>
      </c>
    </row>
    <row r="234" spans="1:7" x14ac:dyDescent="0.25">
      <c r="A234" s="99" t="s">
        <v>450</v>
      </c>
      <c r="B234" s="1" t="s">
        <v>451</v>
      </c>
      <c r="C234" s="11">
        <v>80000000</v>
      </c>
      <c r="D234" s="121">
        <v>5360915</v>
      </c>
      <c r="E234" s="121" t="s">
        <v>451</v>
      </c>
      <c r="F234" s="122">
        <v>80000000</v>
      </c>
      <c r="G234" s="15">
        <f t="shared" si="3"/>
        <v>0</v>
      </c>
    </row>
    <row r="235" spans="1:7" x14ac:dyDescent="0.25">
      <c r="A235" s="99" t="s">
        <v>452</v>
      </c>
      <c r="B235" s="1" t="s">
        <v>453</v>
      </c>
      <c r="C235" s="11">
        <v>500000000</v>
      </c>
      <c r="D235" s="121">
        <v>5360916</v>
      </c>
      <c r="E235" s="121" t="s">
        <v>453</v>
      </c>
      <c r="F235" s="122">
        <v>500000000</v>
      </c>
      <c r="G235" s="15">
        <f t="shared" si="3"/>
        <v>0</v>
      </c>
    </row>
    <row r="236" spans="1:7" x14ac:dyDescent="0.25">
      <c r="A236" s="99" t="s">
        <v>454</v>
      </c>
      <c r="B236" s="1" t="s">
        <v>455</v>
      </c>
      <c r="C236" s="11">
        <v>650000000</v>
      </c>
      <c r="D236" s="121">
        <v>5360917</v>
      </c>
      <c r="E236" s="121" t="s">
        <v>455</v>
      </c>
      <c r="F236" s="122">
        <v>650000000</v>
      </c>
      <c r="G236" s="15">
        <f t="shared" si="3"/>
        <v>0</v>
      </c>
    </row>
    <row r="237" spans="1:7" x14ac:dyDescent="0.25">
      <c r="A237" s="99" t="s">
        <v>456</v>
      </c>
      <c r="B237" s="1" t="s">
        <v>457</v>
      </c>
      <c r="C237" s="11">
        <v>1197500000</v>
      </c>
      <c r="D237" s="121">
        <v>5360918</v>
      </c>
      <c r="E237" s="121" t="s">
        <v>457</v>
      </c>
      <c r="F237" s="122">
        <v>1197500000</v>
      </c>
      <c r="G237" s="15">
        <f t="shared" si="3"/>
        <v>0</v>
      </c>
    </row>
    <row r="238" spans="1:7" x14ac:dyDescent="0.25">
      <c r="A238" s="99" t="s">
        <v>458</v>
      </c>
      <c r="B238" s="1" t="s">
        <v>459</v>
      </c>
      <c r="C238" s="11">
        <v>300000000</v>
      </c>
      <c r="D238" s="121">
        <v>5360919</v>
      </c>
      <c r="E238" s="121" t="s">
        <v>459</v>
      </c>
      <c r="F238" s="122">
        <v>300000000</v>
      </c>
      <c r="G238" s="15">
        <f t="shared" si="3"/>
        <v>0</v>
      </c>
    </row>
    <row r="239" spans="1:7" x14ac:dyDescent="0.25">
      <c r="A239" s="99" t="s">
        <v>460</v>
      </c>
      <c r="B239" s="1" t="s">
        <v>461</v>
      </c>
      <c r="C239" s="11">
        <v>700000000</v>
      </c>
      <c r="D239" s="121">
        <v>5360920</v>
      </c>
      <c r="E239" s="121" t="s">
        <v>461</v>
      </c>
      <c r="F239" s="122">
        <v>700000000</v>
      </c>
      <c r="G239" s="15">
        <f t="shared" si="3"/>
        <v>0</v>
      </c>
    </row>
    <row r="240" spans="1:7" x14ac:dyDescent="0.25">
      <c r="A240" s="99" t="s">
        <v>462</v>
      </c>
      <c r="B240" s="1" t="s">
        <v>463</v>
      </c>
      <c r="C240" s="11">
        <v>120000000</v>
      </c>
      <c r="D240" s="121">
        <v>5360921</v>
      </c>
      <c r="E240" s="121" t="s">
        <v>463</v>
      </c>
      <c r="F240" s="122">
        <v>120000000</v>
      </c>
      <c r="G240" s="15">
        <f t="shared" si="3"/>
        <v>0</v>
      </c>
    </row>
    <row r="241" spans="1:7" x14ac:dyDescent="0.25">
      <c r="A241" s="99" t="s">
        <v>464</v>
      </c>
      <c r="B241" s="1" t="s">
        <v>465</v>
      </c>
      <c r="C241" s="11">
        <v>322555164</v>
      </c>
      <c r="D241" s="121">
        <v>5360922</v>
      </c>
      <c r="E241" s="121" t="s">
        <v>465</v>
      </c>
      <c r="F241" s="122">
        <v>322555164</v>
      </c>
      <c r="G241" s="15">
        <f t="shared" si="3"/>
        <v>0</v>
      </c>
    </row>
    <row r="242" spans="1:7" x14ac:dyDescent="0.25">
      <c r="A242" s="99" t="s">
        <v>466</v>
      </c>
      <c r="B242" s="1" t="s">
        <v>467</v>
      </c>
      <c r="C242" s="11">
        <v>170000000</v>
      </c>
      <c r="D242" s="121">
        <v>5360923</v>
      </c>
      <c r="E242" s="121" t="s">
        <v>467</v>
      </c>
      <c r="F242" s="122">
        <v>170000000</v>
      </c>
      <c r="G242" s="15">
        <f t="shared" si="3"/>
        <v>0</v>
      </c>
    </row>
    <row r="243" spans="1:7" x14ac:dyDescent="0.25">
      <c r="A243" s="99" t="s">
        <v>468</v>
      </c>
      <c r="B243" s="1" t="s">
        <v>469</v>
      </c>
      <c r="C243" s="11">
        <v>2885130</v>
      </c>
      <c r="D243" s="121">
        <v>5360924</v>
      </c>
      <c r="E243" s="121" t="s">
        <v>469</v>
      </c>
      <c r="F243" s="122">
        <v>2885130</v>
      </c>
      <c r="G243" s="15">
        <f t="shared" si="3"/>
        <v>0</v>
      </c>
    </row>
    <row r="244" spans="1:7" x14ac:dyDescent="0.25">
      <c r="A244" s="99" t="s">
        <v>470</v>
      </c>
      <c r="B244" s="1" t="s">
        <v>471</v>
      </c>
      <c r="C244" s="11">
        <v>100000000</v>
      </c>
      <c r="D244" s="121">
        <v>5360925</v>
      </c>
      <c r="E244" s="121" t="s">
        <v>471</v>
      </c>
      <c r="F244" s="122">
        <v>100000000</v>
      </c>
      <c r="G244" s="15">
        <f t="shared" si="3"/>
        <v>0</v>
      </c>
    </row>
    <row r="245" spans="1:7" x14ac:dyDescent="0.25">
      <c r="A245" s="99" t="s">
        <v>472</v>
      </c>
      <c r="B245" s="1" t="s">
        <v>473</v>
      </c>
      <c r="C245" s="11">
        <v>100000000</v>
      </c>
      <c r="D245" s="121">
        <v>5360926</v>
      </c>
      <c r="E245" s="121" t="s">
        <v>473</v>
      </c>
      <c r="F245" s="122">
        <v>100000000</v>
      </c>
      <c r="G245" s="15">
        <f t="shared" si="3"/>
        <v>0</v>
      </c>
    </row>
    <row r="246" spans="1:7" x14ac:dyDescent="0.25">
      <c r="A246" s="99" t="s">
        <v>474</v>
      </c>
      <c r="B246" s="1" t="s">
        <v>475</v>
      </c>
      <c r="C246" s="11">
        <v>100000000</v>
      </c>
      <c r="D246" s="121">
        <v>5360927</v>
      </c>
      <c r="E246" s="121" t="s">
        <v>842</v>
      </c>
      <c r="F246" s="122">
        <v>100000000</v>
      </c>
      <c r="G246" s="15">
        <f t="shared" si="3"/>
        <v>0</v>
      </c>
    </row>
    <row r="247" spans="1:7" x14ac:dyDescent="0.25">
      <c r="A247" s="99" t="s">
        <v>476</v>
      </c>
      <c r="B247" s="1" t="s">
        <v>477</v>
      </c>
      <c r="C247" s="11">
        <v>100000000</v>
      </c>
      <c r="D247" s="121">
        <v>5360928</v>
      </c>
      <c r="E247" s="121" t="s">
        <v>843</v>
      </c>
      <c r="F247" s="122">
        <v>100000000</v>
      </c>
      <c r="G247" s="15">
        <f t="shared" si="3"/>
        <v>0</v>
      </c>
    </row>
    <row r="248" spans="1:7" x14ac:dyDescent="0.25">
      <c r="A248" s="99" t="s">
        <v>478</v>
      </c>
      <c r="B248" s="1" t="s">
        <v>479</v>
      </c>
      <c r="C248" s="11">
        <v>100000000</v>
      </c>
      <c r="D248" s="121">
        <v>5360929</v>
      </c>
      <c r="E248" s="121" t="s">
        <v>844</v>
      </c>
      <c r="F248" s="122">
        <v>100000000</v>
      </c>
      <c r="G248" s="15">
        <f t="shared" si="3"/>
        <v>0</v>
      </c>
    </row>
    <row r="249" spans="1:7" x14ac:dyDescent="0.25">
      <c r="A249" s="99" t="s">
        <v>480</v>
      </c>
      <c r="B249" s="1" t="s">
        <v>481</v>
      </c>
      <c r="C249" s="11">
        <v>1250570468</v>
      </c>
      <c r="D249" s="121">
        <v>5360930</v>
      </c>
      <c r="E249" s="121" t="s">
        <v>481</v>
      </c>
      <c r="F249" s="122">
        <v>1250570468</v>
      </c>
      <c r="G249" s="15">
        <f t="shared" si="3"/>
        <v>0</v>
      </c>
    </row>
    <row r="250" spans="1:7" x14ac:dyDescent="0.25">
      <c r="A250" s="99" t="s">
        <v>482</v>
      </c>
      <c r="B250" s="1" t="s">
        <v>483</v>
      </c>
      <c r="C250" s="11">
        <v>0</v>
      </c>
      <c r="D250" s="121"/>
      <c r="E250" s="121"/>
      <c r="F250" s="122"/>
      <c r="G250" s="15">
        <f t="shared" si="3"/>
        <v>0</v>
      </c>
    </row>
    <row r="251" spans="1:7" x14ac:dyDescent="0.25">
      <c r="A251" s="99" t="s">
        <v>484</v>
      </c>
      <c r="B251" s="1" t="s">
        <v>485</v>
      </c>
      <c r="C251" s="11">
        <v>0</v>
      </c>
      <c r="D251" s="121"/>
      <c r="E251" s="121"/>
      <c r="F251" s="122"/>
      <c r="G251" s="15">
        <f t="shared" si="3"/>
        <v>0</v>
      </c>
    </row>
    <row r="252" spans="1:7" x14ac:dyDescent="0.25">
      <c r="A252" s="99" t="s">
        <v>486</v>
      </c>
      <c r="B252" s="1" t="s">
        <v>487</v>
      </c>
      <c r="C252" s="11">
        <v>0</v>
      </c>
      <c r="D252" s="121"/>
      <c r="E252" s="121"/>
      <c r="F252" s="122"/>
      <c r="G252" s="15">
        <f t="shared" si="3"/>
        <v>0</v>
      </c>
    </row>
    <row r="253" spans="1:7" x14ac:dyDescent="0.25">
      <c r="A253" s="99" t="s">
        <v>488</v>
      </c>
      <c r="B253" s="1" t="s">
        <v>718</v>
      </c>
      <c r="C253" s="11">
        <v>0</v>
      </c>
      <c r="D253" s="121"/>
      <c r="E253" s="121"/>
      <c r="F253" s="122"/>
      <c r="G253" s="15">
        <f t="shared" si="3"/>
        <v>0</v>
      </c>
    </row>
    <row r="254" spans="1:7" x14ac:dyDescent="0.25">
      <c r="A254" s="99" t="s">
        <v>489</v>
      </c>
      <c r="B254" s="1" t="s">
        <v>719</v>
      </c>
      <c r="C254" s="11">
        <v>0</v>
      </c>
      <c r="D254" s="121"/>
      <c r="E254" s="121"/>
      <c r="F254" s="122"/>
      <c r="G254" s="15">
        <f t="shared" si="3"/>
        <v>0</v>
      </c>
    </row>
    <row r="255" spans="1:7" x14ac:dyDescent="0.25">
      <c r="A255" s="99" t="s">
        <v>490</v>
      </c>
      <c r="B255" s="1" t="s">
        <v>720</v>
      </c>
      <c r="C255" s="11">
        <v>0</v>
      </c>
      <c r="D255" s="121"/>
      <c r="E255" s="121"/>
      <c r="F255" s="122"/>
      <c r="G255" s="15">
        <f t="shared" si="3"/>
        <v>0</v>
      </c>
    </row>
    <row r="256" spans="1:7" x14ac:dyDescent="0.25">
      <c r="A256" s="99" t="s">
        <v>491</v>
      </c>
      <c r="B256" s="1" t="s">
        <v>721</v>
      </c>
      <c r="C256" s="11">
        <v>0</v>
      </c>
      <c r="D256" s="121"/>
      <c r="E256" s="121"/>
      <c r="F256" s="122"/>
      <c r="G256" s="15">
        <f t="shared" si="3"/>
        <v>0</v>
      </c>
    </row>
    <row r="257" spans="1:7" x14ac:dyDescent="0.25">
      <c r="A257" s="99" t="s">
        <v>492</v>
      </c>
      <c r="B257" s="1" t="s">
        <v>722</v>
      </c>
      <c r="C257" s="11">
        <v>0</v>
      </c>
      <c r="D257" s="121"/>
      <c r="E257" s="121"/>
      <c r="F257" s="122"/>
      <c r="G257" s="15">
        <f t="shared" si="3"/>
        <v>0</v>
      </c>
    </row>
    <row r="258" spans="1:7" x14ac:dyDescent="0.25">
      <c r="A258" s="99" t="s">
        <v>493</v>
      </c>
      <c r="B258" s="1" t="s">
        <v>723</v>
      </c>
      <c r="C258" s="11">
        <v>0</v>
      </c>
      <c r="D258" s="121"/>
      <c r="E258" s="121"/>
      <c r="F258" s="122"/>
      <c r="G258" s="15">
        <f t="shared" si="3"/>
        <v>0</v>
      </c>
    </row>
    <row r="259" spans="1:7" x14ac:dyDescent="0.25">
      <c r="A259" s="99" t="s">
        <v>494</v>
      </c>
      <c r="B259" s="1" t="s">
        <v>724</v>
      </c>
      <c r="C259" s="11">
        <v>0</v>
      </c>
      <c r="D259" s="121"/>
      <c r="E259" s="121"/>
      <c r="F259" s="122"/>
      <c r="G259" s="15">
        <f t="shared" ref="G259:G322" si="4">+F259-C259</f>
        <v>0</v>
      </c>
    </row>
    <row r="260" spans="1:7" x14ac:dyDescent="0.25">
      <c r="A260" s="99" t="s">
        <v>495</v>
      </c>
      <c r="B260" s="1" t="s">
        <v>725</v>
      </c>
      <c r="C260" s="11">
        <v>0</v>
      </c>
      <c r="D260" s="121"/>
      <c r="E260" s="121"/>
      <c r="F260" s="122"/>
      <c r="G260" s="15">
        <f t="shared" si="4"/>
        <v>0</v>
      </c>
    </row>
    <row r="261" spans="1:7" x14ac:dyDescent="0.25">
      <c r="A261" s="99" t="s">
        <v>496</v>
      </c>
      <c r="B261" s="1" t="s">
        <v>726</v>
      </c>
      <c r="C261" s="11">
        <v>0</v>
      </c>
      <c r="D261" s="121"/>
      <c r="E261" s="121"/>
      <c r="F261" s="122"/>
      <c r="G261" s="15">
        <f t="shared" si="4"/>
        <v>0</v>
      </c>
    </row>
    <row r="262" spans="1:7" x14ac:dyDescent="0.25">
      <c r="A262" s="99" t="s">
        <v>497</v>
      </c>
      <c r="B262" s="1" t="s">
        <v>727</v>
      </c>
      <c r="C262" s="11">
        <v>0</v>
      </c>
      <c r="D262" s="121"/>
      <c r="E262" s="121"/>
      <c r="F262" s="122"/>
      <c r="G262" s="15">
        <f t="shared" si="4"/>
        <v>0</v>
      </c>
    </row>
    <row r="263" spans="1:7" x14ac:dyDescent="0.25">
      <c r="A263" s="99" t="s">
        <v>498</v>
      </c>
      <c r="B263" s="1" t="s">
        <v>728</v>
      </c>
      <c r="C263" s="11">
        <v>0</v>
      </c>
      <c r="D263" s="121"/>
      <c r="E263" s="121"/>
      <c r="F263" s="122"/>
      <c r="G263" s="15">
        <f t="shared" si="4"/>
        <v>0</v>
      </c>
    </row>
    <row r="264" spans="1:7" x14ac:dyDescent="0.25">
      <c r="A264" s="99" t="s">
        <v>499</v>
      </c>
      <c r="B264" s="1" t="s">
        <v>729</v>
      </c>
      <c r="C264" s="11">
        <v>0</v>
      </c>
      <c r="D264" s="121"/>
      <c r="E264" s="121"/>
      <c r="F264" s="122"/>
      <c r="G264" s="15">
        <f t="shared" si="4"/>
        <v>0</v>
      </c>
    </row>
    <row r="265" spans="1:7" x14ac:dyDescent="0.25">
      <c r="A265" s="99" t="s">
        <v>500</v>
      </c>
      <c r="B265" s="1" t="s">
        <v>730</v>
      </c>
      <c r="C265" s="11">
        <v>0</v>
      </c>
      <c r="D265" s="121"/>
      <c r="E265" s="121"/>
      <c r="F265" s="122"/>
      <c r="G265" s="15">
        <f t="shared" si="4"/>
        <v>0</v>
      </c>
    </row>
    <row r="266" spans="1:7" x14ac:dyDescent="0.25">
      <c r="A266" s="99" t="s">
        <v>501</v>
      </c>
      <c r="B266" s="1" t="s">
        <v>731</v>
      </c>
      <c r="C266" s="11">
        <v>0</v>
      </c>
      <c r="D266" s="121"/>
      <c r="E266" s="121"/>
      <c r="F266" s="122"/>
      <c r="G266" s="15">
        <f t="shared" si="4"/>
        <v>0</v>
      </c>
    </row>
    <row r="267" spans="1:7" x14ac:dyDescent="0.25">
      <c r="A267" s="99" t="s">
        <v>502</v>
      </c>
      <c r="B267" s="1" t="s">
        <v>732</v>
      </c>
      <c r="C267" s="11">
        <v>0</v>
      </c>
      <c r="D267" s="121"/>
      <c r="E267" s="121"/>
      <c r="F267" s="122"/>
      <c r="G267" s="15">
        <f t="shared" si="4"/>
        <v>0</v>
      </c>
    </row>
    <row r="268" spans="1:7" x14ac:dyDescent="0.25">
      <c r="A268" s="99" t="s">
        <v>503</v>
      </c>
      <c r="B268" s="1" t="s">
        <v>504</v>
      </c>
      <c r="C268" s="11">
        <v>0</v>
      </c>
      <c r="D268" s="121"/>
      <c r="E268" s="121"/>
      <c r="F268" s="122"/>
      <c r="G268" s="15">
        <f t="shared" si="4"/>
        <v>0</v>
      </c>
    </row>
    <row r="269" spans="1:7" x14ac:dyDescent="0.25">
      <c r="A269" s="99" t="s">
        <v>505</v>
      </c>
      <c r="B269" s="1" t="s">
        <v>506</v>
      </c>
      <c r="C269" s="11">
        <v>0</v>
      </c>
      <c r="D269" s="121"/>
      <c r="E269" s="121"/>
      <c r="F269" s="122"/>
      <c r="G269" s="15">
        <f t="shared" si="4"/>
        <v>0</v>
      </c>
    </row>
    <row r="270" spans="1:7" x14ac:dyDescent="0.25">
      <c r="A270" s="99" t="s">
        <v>507</v>
      </c>
      <c r="B270" s="1" t="s">
        <v>508</v>
      </c>
      <c r="C270" s="11">
        <v>0</v>
      </c>
      <c r="D270" s="121"/>
      <c r="E270" s="121"/>
      <c r="F270" s="122"/>
      <c r="G270" s="15">
        <f t="shared" si="4"/>
        <v>0</v>
      </c>
    </row>
    <row r="271" spans="1:7" x14ac:dyDescent="0.25">
      <c r="A271" s="99" t="s">
        <v>509</v>
      </c>
      <c r="B271" s="1" t="s">
        <v>510</v>
      </c>
      <c r="C271" s="11">
        <v>0</v>
      </c>
      <c r="D271" s="121"/>
      <c r="E271" s="121"/>
      <c r="F271" s="122"/>
      <c r="G271" s="15">
        <f t="shared" si="4"/>
        <v>0</v>
      </c>
    </row>
    <row r="272" spans="1:7" x14ac:dyDescent="0.25">
      <c r="A272" s="99" t="s">
        <v>511</v>
      </c>
      <c r="B272" s="1" t="s">
        <v>512</v>
      </c>
      <c r="C272" s="11">
        <v>0</v>
      </c>
      <c r="D272" s="121"/>
      <c r="E272" s="121"/>
      <c r="F272" s="122"/>
      <c r="G272" s="15">
        <f t="shared" si="4"/>
        <v>0</v>
      </c>
    </row>
    <row r="273" spans="1:7" x14ac:dyDescent="0.25">
      <c r="A273" s="99" t="s">
        <v>513</v>
      </c>
      <c r="B273" s="1" t="s">
        <v>514</v>
      </c>
      <c r="C273" s="11">
        <v>0</v>
      </c>
      <c r="D273" s="121"/>
      <c r="E273" s="121"/>
      <c r="F273" s="122"/>
      <c r="G273" s="15">
        <f t="shared" si="4"/>
        <v>0</v>
      </c>
    </row>
    <row r="274" spans="1:7" x14ac:dyDescent="0.25">
      <c r="A274" s="99" t="s">
        <v>515</v>
      </c>
      <c r="B274" s="1" t="s">
        <v>516</v>
      </c>
      <c r="C274" s="11">
        <v>0</v>
      </c>
      <c r="D274" s="121"/>
      <c r="E274" s="121"/>
      <c r="F274" s="122"/>
      <c r="G274" s="15">
        <f t="shared" si="4"/>
        <v>0</v>
      </c>
    </row>
    <row r="275" spans="1:7" x14ac:dyDescent="0.25">
      <c r="A275" s="99" t="s">
        <v>517</v>
      </c>
      <c r="B275" s="1" t="s">
        <v>518</v>
      </c>
      <c r="C275" s="11">
        <v>0</v>
      </c>
      <c r="D275" s="121"/>
      <c r="E275" s="121"/>
      <c r="F275" s="122"/>
      <c r="G275" s="15">
        <f t="shared" si="4"/>
        <v>0</v>
      </c>
    </row>
    <row r="276" spans="1:7" x14ac:dyDescent="0.25">
      <c r="A276" s="99" t="s">
        <v>519</v>
      </c>
      <c r="B276" s="1" t="s">
        <v>520</v>
      </c>
      <c r="C276" s="11">
        <v>0</v>
      </c>
      <c r="D276" s="121"/>
      <c r="E276" s="121"/>
      <c r="F276" s="122"/>
      <c r="G276" s="15">
        <f t="shared" si="4"/>
        <v>0</v>
      </c>
    </row>
    <row r="277" spans="1:7" x14ac:dyDescent="0.25">
      <c r="A277" s="99" t="s">
        <v>521</v>
      </c>
      <c r="B277" s="1" t="s">
        <v>522</v>
      </c>
      <c r="C277" s="11">
        <v>0</v>
      </c>
      <c r="D277" s="121"/>
      <c r="E277" s="121"/>
      <c r="F277" s="122"/>
      <c r="G277" s="15">
        <f t="shared" si="4"/>
        <v>0</v>
      </c>
    </row>
    <row r="278" spans="1:7" x14ac:dyDescent="0.25">
      <c r="A278" s="99" t="s">
        <v>523</v>
      </c>
      <c r="B278" s="1" t="s">
        <v>524</v>
      </c>
      <c r="C278" s="11">
        <v>0</v>
      </c>
      <c r="D278" s="121"/>
      <c r="E278" s="121"/>
      <c r="F278" s="122"/>
      <c r="G278" s="15">
        <f t="shared" si="4"/>
        <v>0</v>
      </c>
    </row>
    <row r="279" spans="1:7" x14ac:dyDescent="0.25">
      <c r="A279" s="99" t="s">
        <v>525</v>
      </c>
      <c r="B279" s="1" t="s">
        <v>526</v>
      </c>
      <c r="C279" s="11">
        <v>0</v>
      </c>
      <c r="D279" s="121"/>
      <c r="E279" s="121"/>
      <c r="F279" s="122"/>
      <c r="G279" s="15">
        <f t="shared" si="4"/>
        <v>0</v>
      </c>
    </row>
    <row r="280" spans="1:7" x14ac:dyDescent="0.25">
      <c r="A280" s="99" t="s">
        <v>527</v>
      </c>
      <c r="B280" s="1" t="s">
        <v>528</v>
      </c>
      <c r="C280" s="11">
        <v>0</v>
      </c>
      <c r="D280" s="121"/>
      <c r="E280" s="121"/>
      <c r="F280" s="122"/>
      <c r="G280" s="15">
        <f t="shared" si="4"/>
        <v>0</v>
      </c>
    </row>
    <row r="281" spans="1:7" x14ac:dyDescent="0.25">
      <c r="A281" s="99" t="s">
        <v>529</v>
      </c>
      <c r="B281" s="1" t="s">
        <v>530</v>
      </c>
      <c r="C281" s="11">
        <v>0</v>
      </c>
      <c r="D281" s="121"/>
      <c r="E281" s="121"/>
      <c r="F281" s="122"/>
      <c r="G281" s="15">
        <f t="shared" si="4"/>
        <v>0</v>
      </c>
    </row>
    <row r="282" spans="1:7" x14ac:dyDescent="0.25">
      <c r="A282" s="99" t="s">
        <v>531</v>
      </c>
      <c r="B282" s="1" t="s">
        <v>532</v>
      </c>
      <c r="C282" s="11">
        <v>0</v>
      </c>
      <c r="D282" s="121"/>
      <c r="E282" s="121"/>
      <c r="F282" s="122"/>
      <c r="G282" s="15">
        <f t="shared" si="4"/>
        <v>0</v>
      </c>
    </row>
    <row r="283" spans="1:7" x14ac:dyDescent="0.25">
      <c r="A283" s="99" t="s">
        <v>533</v>
      </c>
      <c r="B283" s="1" t="s">
        <v>534</v>
      </c>
      <c r="C283" s="11">
        <v>0</v>
      </c>
      <c r="D283" s="121"/>
      <c r="E283" s="121"/>
      <c r="F283" s="122"/>
      <c r="G283" s="15">
        <f t="shared" si="4"/>
        <v>0</v>
      </c>
    </row>
    <row r="284" spans="1:7" x14ac:dyDescent="0.25">
      <c r="A284" s="99" t="s">
        <v>535</v>
      </c>
      <c r="B284" s="1" t="s">
        <v>536</v>
      </c>
      <c r="C284" s="11">
        <v>0</v>
      </c>
      <c r="D284" s="121"/>
      <c r="E284" s="121"/>
      <c r="F284" s="122"/>
      <c r="G284" s="15">
        <f t="shared" si="4"/>
        <v>0</v>
      </c>
    </row>
    <row r="285" spans="1:7" x14ac:dyDescent="0.25">
      <c r="A285" s="99" t="s">
        <v>537</v>
      </c>
      <c r="B285" s="1" t="s">
        <v>538</v>
      </c>
      <c r="C285" s="11">
        <v>0</v>
      </c>
      <c r="D285" s="121"/>
      <c r="E285" s="121"/>
      <c r="F285" s="122"/>
      <c r="G285" s="15">
        <f t="shared" si="4"/>
        <v>0</v>
      </c>
    </row>
    <row r="286" spans="1:7" x14ac:dyDescent="0.25">
      <c r="A286" s="99" t="s">
        <v>539</v>
      </c>
      <c r="B286" s="1" t="s">
        <v>540</v>
      </c>
      <c r="C286" s="11">
        <v>0</v>
      </c>
      <c r="D286" s="121"/>
      <c r="E286" s="121"/>
      <c r="F286" s="122"/>
      <c r="G286" s="15">
        <f t="shared" si="4"/>
        <v>0</v>
      </c>
    </row>
    <row r="287" spans="1:7" x14ac:dyDescent="0.25">
      <c r="A287" s="99" t="s">
        <v>541</v>
      </c>
      <c r="B287" s="1" t="s">
        <v>542</v>
      </c>
      <c r="C287" s="11">
        <v>0</v>
      </c>
      <c r="D287" s="121"/>
      <c r="E287" s="121"/>
      <c r="F287" s="122"/>
      <c r="G287" s="15">
        <f t="shared" si="4"/>
        <v>0</v>
      </c>
    </row>
    <row r="288" spans="1:7" x14ac:dyDescent="0.25">
      <c r="A288" s="99" t="s">
        <v>543</v>
      </c>
      <c r="B288" s="1" t="s">
        <v>544</v>
      </c>
      <c r="C288" s="11">
        <v>0</v>
      </c>
      <c r="D288" s="121"/>
      <c r="E288" s="121"/>
      <c r="F288" s="122"/>
      <c r="G288" s="15">
        <f t="shared" si="4"/>
        <v>0</v>
      </c>
    </row>
    <row r="289" spans="1:7" x14ac:dyDescent="0.25">
      <c r="A289" s="4" t="s">
        <v>545</v>
      </c>
      <c r="B289" s="5" t="s">
        <v>546</v>
      </c>
      <c r="C289" s="10">
        <v>271669531</v>
      </c>
      <c r="D289" s="119">
        <v>6</v>
      </c>
      <c r="E289" s="119" t="s">
        <v>546</v>
      </c>
      <c r="F289" s="120">
        <v>271669531</v>
      </c>
      <c r="G289" s="15">
        <f t="shared" si="4"/>
        <v>0</v>
      </c>
    </row>
    <row r="290" spans="1:7" x14ac:dyDescent="0.25">
      <c r="A290" s="4" t="s">
        <v>547</v>
      </c>
      <c r="B290" s="5" t="s">
        <v>548</v>
      </c>
      <c r="C290" s="10">
        <v>1000</v>
      </c>
      <c r="D290" s="121">
        <v>601</v>
      </c>
      <c r="E290" s="121" t="s">
        <v>548</v>
      </c>
      <c r="F290" s="122">
        <v>1000</v>
      </c>
      <c r="G290" s="15">
        <f t="shared" si="4"/>
        <v>0</v>
      </c>
    </row>
    <row r="291" spans="1:7" x14ac:dyDescent="0.25">
      <c r="A291" s="99" t="s">
        <v>549</v>
      </c>
      <c r="B291" s="1" t="s">
        <v>550</v>
      </c>
      <c r="C291" s="11">
        <v>1000</v>
      </c>
      <c r="D291" s="121">
        <v>60101</v>
      </c>
      <c r="E291" s="121" t="s">
        <v>550</v>
      </c>
      <c r="F291" s="122">
        <v>1000</v>
      </c>
      <c r="G291" s="15">
        <f t="shared" si="4"/>
        <v>0</v>
      </c>
    </row>
    <row r="292" spans="1:7" x14ac:dyDescent="0.25">
      <c r="A292" s="99" t="s">
        <v>551</v>
      </c>
      <c r="B292" s="1" t="s">
        <v>552</v>
      </c>
      <c r="C292" s="11">
        <v>0</v>
      </c>
      <c r="D292" s="121"/>
      <c r="E292" s="121"/>
      <c r="F292" s="122"/>
      <c r="G292" s="15">
        <f t="shared" si="4"/>
        <v>0</v>
      </c>
    </row>
    <row r="293" spans="1:7" x14ac:dyDescent="0.25">
      <c r="A293" s="99" t="s">
        <v>553</v>
      </c>
      <c r="B293" s="1" t="s">
        <v>554</v>
      </c>
      <c r="C293" s="11">
        <v>0</v>
      </c>
      <c r="D293" s="121"/>
      <c r="E293" s="121"/>
      <c r="F293" s="122"/>
      <c r="G293" s="15">
        <f t="shared" si="4"/>
        <v>0</v>
      </c>
    </row>
    <row r="294" spans="1:7" x14ac:dyDescent="0.25">
      <c r="A294" s="99" t="s">
        <v>555</v>
      </c>
      <c r="B294" s="1" t="s">
        <v>556</v>
      </c>
      <c r="C294" s="11">
        <v>0</v>
      </c>
      <c r="D294" s="121"/>
      <c r="E294" s="121"/>
      <c r="F294" s="122"/>
      <c r="G294" s="15">
        <f t="shared" si="4"/>
        <v>0</v>
      </c>
    </row>
    <row r="295" spans="1:7" x14ac:dyDescent="0.25">
      <c r="A295" s="99" t="s">
        <v>557</v>
      </c>
      <c r="B295" s="1" t="s">
        <v>558</v>
      </c>
      <c r="C295" s="11">
        <v>0</v>
      </c>
      <c r="D295" s="121"/>
      <c r="E295" s="121"/>
      <c r="F295" s="122"/>
      <c r="G295" s="15">
        <f t="shared" si="4"/>
        <v>0</v>
      </c>
    </row>
    <row r="296" spans="1:7" x14ac:dyDescent="0.25">
      <c r="A296" s="99" t="s">
        <v>559</v>
      </c>
      <c r="B296" s="1" t="s">
        <v>560</v>
      </c>
      <c r="C296" s="11">
        <v>0</v>
      </c>
      <c r="D296" s="121"/>
      <c r="E296" s="121"/>
      <c r="F296" s="122"/>
      <c r="G296" s="15">
        <f t="shared" si="4"/>
        <v>0</v>
      </c>
    </row>
    <row r="297" spans="1:7" x14ac:dyDescent="0.25">
      <c r="A297" s="99" t="s">
        <v>561</v>
      </c>
      <c r="B297" s="1" t="s">
        <v>562</v>
      </c>
      <c r="C297" s="11">
        <v>0</v>
      </c>
      <c r="D297" s="121"/>
      <c r="E297" s="121"/>
      <c r="F297" s="122"/>
      <c r="G297" s="15">
        <f t="shared" si="4"/>
        <v>0</v>
      </c>
    </row>
    <row r="298" spans="1:7" x14ac:dyDescent="0.25">
      <c r="A298" s="99" t="s">
        <v>563</v>
      </c>
      <c r="B298" s="1" t="s">
        <v>564</v>
      </c>
      <c r="C298" s="11">
        <v>0</v>
      </c>
      <c r="D298" s="121"/>
      <c r="E298" s="121"/>
      <c r="F298" s="122"/>
      <c r="G298" s="15">
        <f t="shared" si="4"/>
        <v>0</v>
      </c>
    </row>
    <row r="299" spans="1:7" x14ac:dyDescent="0.25">
      <c r="A299" s="99" t="s">
        <v>565</v>
      </c>
      <c r="B299" s="1" t="s">
        <v>566</v>
      </c>
      <c r="C299" s="11">
        <v>0</v>
      </c>
      <c r="D299" s="121"/>
      <c r="E299" s="121"/>
      <c r="F299" s="122"/>
      <c r="G299" s="15">
        <f t="shared" si="4"/>
        <v>0</v>
      </c>
    </row>
    <row r="300" spans="1:7" x14ac:dyDescent="0.25">
      <c r="A300" s="99" t="s">
        <v>567</v>
      </c>
      <c r="B300" s="1" t="s">
        <v>568</v>
      </c>
      <c r="C300" s="11">
        <v>0</v>
      </c>
      <c r="D300" s="121"/>
      <c r="E300" s="121"/>
      <c r="F300" s="122"/>
      <c r="G300" s="15">
        <f t="shared" si="4"/>
        <v>0</v>
      </c>
    </row>
    <row r="301" spans="1:7" x14ac:dyDescent="0.25">
      <c r="A301" s="99" t="s">
        <v>569</v>
      </c>
      <c r="B301" s="1" t="s">
        <v>118</v>
      </c>
      <c r="C301" s="11">
        <v>0</v>
      </c>
      <c r="D301" s="121"/>
      <c r="E301" s="121"/>
      <c r="F301" s="122"/>
      <c r="G301" s="15">
        <f t="shared" si="4"/>
        <v>0</v>
      </c>
    </row>
    <row r="302" spans="1:7" x14ac:dyDescent="0.25">
      <c r="A302" s="99" t="s">
        <v>570</v>
      </c>
      <c r="B302" s="1" t="s">
        <v>571</v>
      </c>
      <c r="C302" s="11">
        <v>0</v>
      </c>
      <c r="D302" s="121"/>
      <c r="E302" s="121"/>
      <c r="F302" s="122"/>
      <c r="G302" s="15">
        <f t="shared" si="4"/>
        <v>0</v>
      </c>
    </row>
    <row r="303" spans="1:7" x14ac:dyDescent="0.25">
      <c r="A303" s="99" t="s">
        <v>572</v>
      </c>
      <c r="B303" s="1" t="s">
        <v>573</v>
      </c>
      <c r="C303" s="11">
        <v>0</v>
      </c>
      <c r="D303" s="121"/>
      <c r="E303" s="121"/>
      <c r="F303" s="122"/>
      <c r="G303" s="15">
        <f t="shared" si="4"/>
        <v>0</v>
      </c>
    </row>
    <row r="304" spans="1:7" x14ac:dyDescent="0.25">
      <c r="A304" s="99" t="s">
        <v>574</v>
      </c>
      <c r="B304" s="1" t="s">
        <v>575</v>
      </c>
      <c r="C304" s="11">
        <v>0</v>
      </c>
      <c r="D304" s="121"/>
      <c r="E304" s="121"/>
      <c r="F304" s="122"/>
      <c r="G304" s="15">
        <f t="shared" si="4"/>
        <v>0</v>
      </c>
    </row>
    <row r="305" spans="1:7" x14ac:dyDescent="0.25">
      <c r="A305" s="4" t="s">
        <v>576</v>
      </c>
      <c r="B305" s="5" t="s">
        <v>577</v>
      </c>
      <c r="C305" s="10">
        <v>0</v>
      </c>
      <c r="D305" s="121"/>
      <c r="E305" s="121"/>
      <c r="F305" s="122"/>
      <c r="G305" s="15">
        <f t="shared" si="4"/>
        <v>0</v>
      </c>
    </row>
    <row r="306" spans="1:7" x14ac:dyDescent="0.25">
      <c r="A306" s="99" t="s">
        <v>578</v>
      </c>
      <c r="B306" s="1" t="s">
        <v>579</v>
      </c>
      <c r="C306" s="11">
        <v>0</v>
      </c>
      <c r="D306" s="121"/>
      <c r="E306" s="121"/>
      <c r="F306" s="122"/>
      <c r="G306" s="15">
        <f t="shared" si="4"/>
        <v>0</v>
      </c>
    </row>
    <row r="307" spans="1:7" x14ac:dyDescent="0.25">
      <c r="A307" s="99" t="s">
        <v>580</v>
      </c>
      <c r="B307" s="1" t="s">
        <v>581</v>
      </c>
      <c r="C307" s="11">
        <v>0</v>
      </c>
      <c r="D307" s="121"/>
      <c r="E307" s="121"/>
      <c r="F307" s="122"/>
      <c r="G307" s="15">
        <f t="shared" si="4"/>
        <v>0</v>
      </c>
    </row>
    <row r="308" spans="1:7" x14ac:dyDescent="0.25">
      <c r="A308" s="99" t="s">
        <v>582</v>
      </c>
      <c r="B308" s="1" t="s">
        <v>583</v>
      </c>
      <c r="C308" s="11">
        <v>0</v>
      </c>
      <c r="D308" s="121"/>
      <c r="E308" s="121"/>
      <c r="F308" s="122"/>
      <c r="G308" s="15">
        <f t="shared" si="4"/>
        <v>0</v>
      </c>
    </row>
    <row r="309" spans="1:7" x14ac:dyDescent="0.25">
      <c r="A309" s="99" t="s">
        <v>584</v>
      </c>
      <c r="B309" s="1" t="s">
        <v>585</v>
      </c>
      <c r="C309" s="11">
        <v>0</v>
      </c>
      <c r="D309" s="121"/>
      <c r="E309" s="121"/>
      <c r="F309" s="122"/>
      <c r="G309" s="15">
        <f t="shared" si="4"/>
        <v>0</v>
      </c>
    </row>
    <row r="310" spans="1:7" x14ac:dyDescent="0.25">
      <c r="A310" s="99" t="s">
        <v>586</v>
      </c>
      <c r="B310" s="1" t="s">
        <v>587</v>
      </c>
      <c r="C310" s="11">
        <v>0</v>
      </c>
      <c r="D310" s="121"/>
      <c r="E310" s="121"/>
      <c r="F310" s="122"/>
      <c r="G310" s="15">
        <f t="shared" si="4"/>
        <v>0</v>
      </c>
    </row>
    <row r="311" spans="1:7" x14ac:dyDescent="0.25">
      <c r="A311" s="99" t="s">
        <v>588</v>
      </c>
      <c r="B311" s="1" t="s">
        <v>589</v>
      </c>
      <c r="C311" s="11">
        <v>36668531</v>
      </c>
      <c r="D311" s="121">
        <v>603</v>
      </c>
      <c r="E311" s="121" t="s">
        <v>589</v>
      </c>
      <c r="F311" s="122">
        <v>36668531</v>
      </c>
      <c r="G311" s="15">
        <f t="shared" si="4"/>
        <v>0</v>
      </c>
    </row>
    <row r="312" spans="1:7" x14ac:dyDescent="0.25">
      <c r="A312" s="99" t="s">
        <v>590</v>
      </c>
      <c r="B312" s="1" t="s">
        <v>591</v>
      </c>
      <c r="C312" s="11">
        <v>200000000</v>
      </c>
      <c r="D312" s="121">
        <v>604</v>
      </c>
      <c r="E312" s="121" t="s">
        <v>591</v>
      </c>
      <c r="F312" s="122">
        <v>200000000</v>
      </c>
      <c r="G312" s="15">
        <f t="shared" si="4"/>
        <v>0</v>
      </c>
    </row>
    <row r="313" spans="1:7" x14ac:dyDescent="0.25">
      <c r="A313" s="99" t="s">
        <v>592</v>
      </c>
      <c r="B313" s="1" t="s">
        <v>593</v>
      </c>
      <c r="C313" s="11">
        <v>35000000</v>
      </c>
      <c r="D313" s="121">
        <v>605</v>
      </c>
      <c r="E313" s="121" t="s">
        <v>593</v>
      </c>
      <c r="F313" s="122">
        <v>35000000</v>
      </c>
      <c r="G313" s="15">
        <f t="shared" si="4"/>
        <v>0</v>
      </c>
    </row>
    <row r="314" spans="1:7" x14ac:dyDescent="0.25">
      <c r="A314" s="4" t="s">
        <v>594</v>
      </c>
      <c r="B314" s="5" t="s">
        <v>595</v>
      </c>
      <c r="C314" s="10">
        <v>14022000000</v>
      </c>
      <c r="D314" s="119">
        <v>7</v>
      </c>
      <c r="E314" s="119" t="s">
        <v>595</v>
      </c>
      <c r="F314" s="120">
        <v>14022000000</v>
      </c>
      <c r="G314" s="15">
        <f t="shared" si="4"/>
        <v>0</v>
      </c>
    </row>
    <row r="315" spans="1:7" x14ac:dyDescent="0.25">
      <c r="A315" s="4" t="s">
        <v>596</v>
      </c>
      <c r="B315" s="5" t="s">
        <v>597</v>
      </c>
      <c r="C315" s="10">
        <v>0</v>
      </c>
      <c r="G315" s="15">
        <f t="shared" si="4"/>
        <v>0</v>
      </c>
    </row>
    <row r="316" spans="1:7" x14ac:dyDescent="0.25">
      <c r="A316" s="4" t="s">
        <v>598</v>
      </c>
      <c r="B316" s="5" t="s">
        <v>599</v>
      </c>
      <c r="C316" s="10">
        <v>0</v>
      </c>
      <c r="G316" s="15">
        <f t="shared" si="4"/>
        <v>0</v>
      </c>
    </row>
    <row r="317" spans="1:7" x14ac:dyDescent="0.25">
      <c r="A317" s="4" t="s">
        <v>600</v>
      </c>
      <c r="B317" s="5" t="s">
        <v>601</v>
      </c>
      <c r="C317" s="10">
        <v>0</v>
      </c>
      <c r="G317" s="15">
        <f t="shared" si="4"/>
        <v>0</v>
      </c>
    </row>
    <row r="318" spans="1:7" x14ac:dyDescent="0.25">
      <c r="A318" s="99" t="s">
        <v>602</v>
      </c>
      <c r="B318" s="1" t="s">
        <v>603</v>
      </c>
      <c r="C318" s="11">
        <v>0</v>
      </c>
      <c r="G318" s="15">
        <f t="shared" si="4"/>
        <v>0</v>
      </c>
    </row>
    <row r="319" spans="1:7" x14ac:dyDescent="0.25">
      <c r="A319" s="99" t="s">
        <v>604</v>
      </c>
      <c r="B319" s="1" t="s">
        <v>605</v>
      </c>
      <c r="C319" s="11">
        <v>0</v>
      </c>
      <c r="G319" s="15">
        <f t="shared" si="4"/>
        <v>0</v>
      </c>
    </row>
    <row r="320" spans="1:7" x14ac:dyDescent="0.25">
      <c r="A320" s="99" t="s">
        <v>606</v>
      </c>
      <c r="B320" s="1" t="s">
        <v>607</v>
      </c>
      <c r="C320" s="11">
        <v>0</v>
      </c>
      <c r="G320" s="15">
        <f t="shared" si="4"/>
        <v>0</v>
      </c>
    </row>
    <row r="321" spans="1:7" x14ac:dyDescent="0.25">
      <c r="A321" s="99" t="s">
        <v>608</v>
      </c>
      <c r="B321" s="1" t="s">
        <v>609</v>
      </c>
      <c r="C321" s="11">
        <v>0</v>
      </c>
      <c r="G321" s="15">
        <f t="shared" si="4"/>
        <v>0</v>
      </c>
    </row>
    <row r="322" spans="1:7" x14ac:dyDescent="0.25">
      <c r="A322" s="99" t="s">
        <v>610</v>
      </c>
      <c r="B322" s="1" t="s">
        <v>611</v>
      </c>
      <c r="C322" s="11">
        <v>0</v>
      </c>
      <c r="G322" s="15">
        <f t="shared" si="4"/>
        <v>0</v>
      </c>
    </row>
    <row r="323" spans="1:7" x14ac:dyDescent="0.25">
      <c r="A323" s="99" t="s">
        <v>612</v>
      </c>
      <c r="B323" s="1" t="s">
        <v>613</v>
      </c>
      <c r="C323" s="11">
        <v>0</v>
      </c>
      <c r="G323" s="15">
        <f t="shared" ref="G323:G369" si="5">+F323-C323</f>
        <v>0</v>
      </c>
    </row>
    <row r="324" spans="1:7" x14ac:dyDescent="0.25">
      <c r="A324" s="99" t="s">
        <v>614</v>
      </c>
      <c r="B324" s="1" t="s">
        <v>615</v>
      </c>
      <c r="C324" s="11">
        <v>0</v>
      </c>
      <c r="G324" s="15">
        <f t="shared" si="5"/>
        <v>0</v>
      </c>
    </row>
    <row r="325" spans="1:7" x14ac:dyDescent="0.25">
      <c r="A325" s="99" t="s">
        <v>616</v>
      </c>
      <c r="B325" s="1" t="s">
        <v>617</v>
      </c>
      <c r="C325" s="11">
        <v>0</v>
      </c>
      <c r="G325" s="15">
        <f t="shared" si="5"/>
        <v>0</v>
      </c>
    </row>
    <row r="326" spans="1:7" x14ac:dyDescent="0.25">
      <c r="A326" s="99" t="s">
        <v>618</v>
      </c>
      <c r="B326" s="1" t="s">
        <v>619</v>
      </c>
      <c r="C326" s="11">
        <v>0</v>
      </c>
      <c r="G326" s="15">
        <f t="shared" si="5"/>
        <v>0</v>
      </c>
    </row>
    <row r="327" spans="1:7" x14ac:dyDescent="0.25">
      <c r="A327" s="99" t="s">
        <v>620</v>
      </c>
      <c r="B327" s="1" t="s">
        <v>621</v>
      </c>
      <c r="C327" s="11">
        <v>0</v>
      </c>
      <c r="G327" s="15">
        <f t="shared" si="5"/>
        <v>0</v>
      </c>
    </row>
    <row r="328" spans="1:7" x14ac:dyDescent="0.25">
      <c r="A328" s="4" t="s">
        <v>622</v>
      </c>
      <c r="B328" s="5" t="s">
        <v>623</v>
      </c>
      <c r="C328" s="10">
        <v>0</v>
      </c>
      <c r="G328" s="15">
        <f t="shared" si="5"/>
        <v>0</v>
      </c>
    </row>
    <row r="329" spans="1:7" x14ac:dyDescent="0.25">
      <c r="A329" s="99" t="s">
        <v>624</v>
      </c>
      <c r="B329" s="1" t="s">
        <v>625</v>
      </c>
      <c r="C329" s="11">
        <v>0</v>
      </c>
      <c r="G329" s="15">
        <f t="shared" si="5"/>
        <v>0</v>
      </c>
    </row>
    <row r="330" spans="1:7" x14ac:dyDescent="0.25">
      <c r="A330" s="99" t="s">
        <v>626</v>
      </c>
      <c r="B330" s="1" t="s">
        <v>627</v>
      </c>
      <c r="C330" s="11">
        <v>0</v>
      </c>
      <c r="G330" s="15">
        <f t="shared" si="5"/>
        <v>0</v>
      </c>
    </row>
    <row r="331" spans="1:7" x14ac:dyDescent="0.25">
      <c r="A331" s="99" t="s">
        <v>628</v>
      </c>
      <c r="B331" s="1" t="s">
        <v>629</v>
      </c>
      <c r="C331" s="11">
        <v>0</v>
      </c>
      <c r="G331" s="15">
        <f t="shared" si="5"/>
        <v>0</v>
      </c>
    </row>
    <row r="332" spans="1:7" x14ac:dyDescent="0.25">
      <c r="A332" s="99" t="s">
        <v>630</v>
      </c>
      <c r="B332" s="1" t="s">
        <v>631</v>
      </c>
      <c r="C332" s="11">
        <v>0</v>
      </c>
      <c r="G332" s="15">
        <f t="shared" si="5"/>
        <v>0</v>
      </c>
    </row>
    <row r="333" spans="1:7" x14ac:dyDescent="0.25">
      <c r="A333" s="99" t="s">
        <v>632</v>
      </c>
      <c r="B333" s="1" t="s">
        <v>633</v>
      </c>
      <c r="C333" s="11">
        <v>0</v>
      </c>
      <c r="G333" s="15">
        <f t="shared" si="5"/>
        <v>0</v>
      </c>
    </row>
    <row r="334" spans="1:7" x14ac:dyDescent="0.25">
      <c r="A334" s="99" t="s">
        <v>634</v>
      </c>
      <c r="B334" s="1" t="s">
        <v>635</v>
      </c>
      <c r="C334" s="11">
        <v>0</v>
      </c>
      <c r="G334" s="15">
        <f t="shared" si="5"/>
        <v>0</v>
      </c>
    </row>
    <row r="335" spans="1:7" x14ac:dyDescent="0.25">
      <c r="A335" s="99" t="s">
        <v>636</v>
      </c>
      <c r="B335" s="1" t="s">
        <v>637</v>
      </c>
      <c r="C335" s="11">
        <v>0</v>
      </c>
      <c r="G335" s="15">
        <f t="shared" si="5"/>
        <v>0</v>
      </c>
    </row>
    <row r="336" spans="1:7" x14ac:dyDescent="0.25">
      <c r="A336" s="99" t="s">
        <v>638</v>
      </c>
      <c r="B336" s="1" t="s">
        <v>639</v>
      </c>
      <c r="C336" s="11">
        <v>0</v>
      </c>
      <c r="G336" s="15">
        <f t="shared" si="5"/>
        <v>0</v>
      </c>
    </row>
    <row r="337" spans="1:7" x14ac:dyDescent="0.25">
      <c r="A337" s="99" t="s">
        <v>640</v>
      </c>
      <c r="B337" s="1" t="s">
        <v>641</v>
      </c>
      <c r="C337" s="11">
        <v>0</v>
      </c>
      <c r="G337" s="15">
        <f t="shared" si="5"/>
        <v>0</v>
      </c>
    </row>
    <row r="338" spans="1:7" x14ac:dyDescent="0.25">
      <c r="A338" s="99" t="s">
        <v>642</v>
      </c>
      <c r="B338" s="1" t="s">
        <v>643</v>
      </c>
      <c r="C338" s="11">
        <v>0</v>
      </c>
      <c r="G338" s="15">
        <f t="shared" si="5"/>
        <v>0</v>
      </c>
    </row>
    <row r="339" spans="1:7" x14ac:dyDescent="0.25">
      <c r="A339" s="99" t="s">
        <v>644</v>
      </c>
      <c r="B339" s="1" t="s">
        <v>645</v>
      </c>
      <c r="C339" s="11">
        <v>0</v>
      </c>
      <c r="G339" s="15">
        <f t="shared" si="5"/>
        <v>0</v>
      </c>
    </row>
    <row r="340" spans="1:7" x14ac:dyDescent="0.25">
      <c r="A340" s="99" t="s">
        <v>646</v>
      </c>
      <c r="B340" s="1" t="s">
        <v>647</v>
      </c>
      <c r="C340" s="11">
        <v>0</v>
      </c>
      <c r="G340" s="15">
        <f t="shared" si="5"/>
        <v>0</v>
      </c>
    </row>
    <row r="341" spans="1:7" x14ac:dyDescent="0.25">
      <c r="A341" s="99" t="s">
        <v>648</v>
      </c>
      <c r="B341" s="1" t="s">
        <v>649</v>
      </c>
      <c r="C341" s="11">
        <v>0</v>
      </c>
      <c r="G341" s="15">
        <f t="shared" si="5"/>
        <v>0</v>
      </c>
    </row>
    <row r="342" spans="1:7" x14ac:dyDescent="0.25">
      <c r="A342" s="4" t="s">
        <v>650</v>
      </c>
      <c r="B342" s="5" t="s">
        <v>651</v>
      </c>
      <c r="C342" s="10">
        <v>0</v>
      </c>
      <c r="G342" s="15">
        <f t="shared" si="5"/>
        <v>0</v>
      </c>
    </row>
    <row r="343" spans="1:7" x14ac:dyDescent="0.25">
      <c r="A343" s="99" t="s">
        <v>652</v>
      </c>
      <c r="B343" s="1" t="s">
        <v>653</v>
      </c>
      <c r="C343" s="11">
        <v>0</v>
      </c>
      <c r="G343" s="15">
        <f t="shared" si="5"/>
        <v>0</v>
      </c>
    </row>
    <row r="344" spans="1:7" x14ac:dyDescent="0.25">
      <c r="A344" s="99" t="s">
        <v>654</v>
      </c>
      <c r="B344" s="1" t="s">
        <v>655</v>
      </c>
      <c r="C344" s="11">
        <v>0</v>
      </c>
      <c r="G344" s="15">
        <f t="shared" si="5"/>
        <v>0</v>
      </c>
    </row>
    <row r="345" spans="1:7" x14ac:dyDescent="0.25">
      <c r="A345" s="99" t="s">
        <v>656</v>
      </c>
      <c r="B345" s="1" t="s">
        <v>657</v>
      </c>
      <c r="C345" s="11">
        <v>0</v>
      </c>
      <c r="G345" s="15">
        <f t="shared" si="5"/>
        <v>0</v>
      </c>
    </row>
    <row r="346" spans="1:7" x14ac:dyDescent="0.25">
      <c r="A346" s="99" t="s">
        <v>658</v>
      </c>
      <c r="B346" s="1" t="s">
        <v>659</v>
      </c>
      <c r="C346" s="11">
        <v>0</v>
      </c>
      <c r="G346" s="15">
        <f t="shared" si="5"/>
        <v>0</v>
      </c>
    </row>
    <row r="347" spans="1:7" x14ac:dyDescent="0.25">
      <c r="A347" s="99" t="s">
        <v>660</v>
      </c>
      <c r="B347" s="1" t="s">
        <v>661</v>
      </c>
      <c r="C347" s="11">
        <v>0</v>
      </c>
      <c r="G347" s="15">
        <f t="shared" si="5"/>
        <v>0</v>
      </c>
    </row>
    <row r="348" spans="1:7" x14ac:dyDescent="0.25">
      <c r="A348" s="99" t="s">
        <v>662</v>
      </c>
      <c r="B348" s="1" t="s">
        <v>663</v>
      </c>
      <c r="C348" s="11">
        <v>0</v>
      </c>
      <c r="G348" s="15">
        <f t="shared" si="5"/>
        <v>0</v>
      </c>
    </row>
    <row r="349" spans="1:7" x14ac:dyDescent="0.25">
      <c r="A349" s="99" t="s">
        <v>664</v>
      </c>
      <c r="B349" s="1" t="s">
        <v>665</v>
      </c>
      <c r="C349" s="11">
        <v>0</v>
      </c>
      <c r="G349" s="15">
        <f t="shared" si="5"/>
        <v>0</v>
      </c>
    </row>
    <row r="350" spans="1:7" x14ac:dyDescent="0.25">
      <c r="A350" s="99" t="s">
        <v>666</v>
      </c>
      <c r="B350" s="1" t="s">
        <v>667</v>
      </c>
      <c r="C350" s="11">
        <v>0</v>
      </c>
      <c r="G350" s="15">
        <f t="shared" si="5"/>
        <v>0</v>
      </c>
    </row>
    <row r="351" spans="1:7" x14ac:dyDescent="0.25">
      <c r="A351" s="99" t="s">
        <v>668</v>
      </c>
      <c r="B351" s="1" t="s">
        <v>669</v>
      </c>
      <c r="C351" s="11">
        <v>0</v>
      </c>
      <c r="G351" s="15">
        <f t="shared" si="5"/>
        <v>0</v>
      </c>
    </row>
    <row r="352" spans="1:7" x14ac:dyDescent="0.25">
      <c r="A352" s="99" t="s">
        <v>670</v>
      </c>
      <c r="B352" s="1" t="s">
        <v>671</v>
      </c>
      <c r="C352" s="11">
        <v>0</v>
      </c>
      <c r="G352" s="15">
        <f t="shared" si="5"/>
        <v>0</v>
      </c>
    </row>
    <row r="353" spans="1:7" x14ac:dyDescent="0.25">
      <c r="A353" s="99" t="s">
        <v>672</v>
      </c>
      <c r="B353" s="1" t="s">
        <v>673</v>
      </c>
      <c r="C353" s="11">
        <v>0</v>
      </c>
      <c r="G353" s="15">
        <f t="shared" si="5"/>
        <v>0</v>
      </c>
    </row>
    <row r="354" spans="1:7" x14ac:dyDescent="0.25">
      <c r="A354" s="99" t="s">
        <v>674</v>
      </c>
      <c r="B354" s="1" t="s">
        <v>675</v>
      </c>
      <c r="C354" s="11">
        <v>0</v>
      </c>
      <c r="G354" s="15">
        <f t="shared" si="5"/>
        <v>0</v>
      </c>
    </row>
    <row r="355" spans="1:7" x14ac:dyDescent="0.25">
      <c r="A355" s="99" t="s">
        <v>676</v>
      </c>
      <c r="B355" s="1" t="s">
        <v>677</v>
      </c>
      <c r="C355" s="11">
        <v>0</v>
      </c>
      <c r="G355" s="15">
        <f t="shared" si="5"/>
        <v>0</v>
      </c>
    </row>
    <row r="356" spans="1:7" x14ac:dyDescent="0.25">
      <c r="A356" s="99" t="s">
        <v>678</v>
      </c>
      <c r="B356" s="1" t="s">
        <v>679</v>
      </c>
      <c r="C356" s="11">
        <v>0</v>
      </c>
      <c r="G356" s="15">
        <f t="shared" si="5"/>
        <v>0</v>
      </c>
    </row>
    <row r="357" spans="1:7" x14ac:dyDescent="0.25">
      <c r="A357" s="99" t="s">
        <v>680</v>
      </c>
      <c r="B357" s="1" t="s">
        <v>681</v>
      </c>
      <c r="C357" s="11">
        <v>0</v>
      </c>
      <c r="G357" s="15">
        <f t="shared" si="5"/>
        <v>0</v>
      </c>
    </row>
    <row r="358" spans="1:7" x14ac:dyDescent="0.25">
      <c r="A358" s="99" t="s">
        <v>682</v>
      </c>
      <c r="B358" s="1" t="s">
        <v>683</v>
      </c>
      <c r="C358" s="11">
        <v>0</v>
      </c>
      <c r="G358" s="15">
        <f t="shared" si="5"/>
        <v>0</v>
      </c>
    </row>
    <row r="359" spans="1:7" x14ac:dyDescent="0.25">
      <c r="A359" s="99" t="s">
        <v>684</v>
      </c>
      <c r="B359" s="1" t="s">
        <v>685</v>
      </c>
      <c r="C359" s="11">
        <v>0</v>
      </c>
      <c r="G359" s="15">
        <f t="shared" si="5"/>
        <v>0</v>
      </c>
    </row>
    <row r="360" spans="1:7" x14ac:dyDescent="0.25">
      <c r="A360" s="99" t="s">
        <v>686</v>
      </c>
      <c r="B360" s="1" t="s">
        <v>687</v>
      </c>
      <c r="C360" s="11">
        <v>0</v>
      </c>
      <c r="G360" s="15">
        <f t="shared" si="5"/>
        <v>0</v>
      </c>
    </row>
    <row r="361" spans="1:7" x14ac:dyDescent="0.25">
      <c r="A361" s="99" t="s">
        <v>688</v>
      </c>
      <c r="B361" s="1" t="s">
        <v>689</v>
      </c>
      <c r="C361" s="11">
        <v>0</v>
      </c>
      <c r="G361" s="15">
        <f t="shared" si="5"/>
        <v>0</v>
      </c>
    </row>
    <row r="362" spans="1:7" x14ac:dyDescent="0.25">
      <c r="A362" s="99" t="s">
        <v>690</v>
      </c>
      <c r="B362" s="1" t="s">
        <v>691</v>
      </c>
      <c r="C362" s="11">
        <v>0</v>
      </c>
      <c r="G362" s="15">
        <f t="shared" si="5"/>
        <v>0</v>
      </c>
    </row>
    <row r="363" spans="1:7" x14ac:dyDescent="0.25">
      <c r="A363" s="99" t="s">
        <v>692</v>
      </c>
      <c r="B363" s="1" t="s">
        <v>693</v>
      </c>
      <c r="C363" s="11">
        <v>0</v>
      </c>
      <c r="G363" s="15">
        <f t="shared" si="5"/>
        <v>0</v>
      </c>
    </row>
    <row r="364" spans="1:7" x14ac:dyDescent="0.25">
      <c r="A364" s="4" t="s">
        <v>694</v>
      </c>
      <c r="B364" s="5" t="s">
        <v>695</v>
      </c>
      <c r="C364" s="10">
        <v>0</v>
      </c>
      <c r="G364" s="15">
        <f t="shared" si="5"/>
        <v>0</v>
      </c>
    </row>
    <row r="365" spans="1:7" x14ac:dyDescent="0.25">
      <c r="A365" s="4" t="s">
        <v>696</v>
      </c>
      <c r="B365" s="5" t="s">
        <v>697</v>
      </c>
      <c r="C365" s="10">
        <v>0</v>
      </c>
      <c r="G365" s="15">
        <f t="shared" si="5"/>
        <v>0</v>
      </c>
    </row>
    <row r="366" spans="1:7" x14ac:dyDescent="0.25">
      <c r="A366" s="99" t="s">
        <v>698</v>
      </c>
      <c r="B366" s="1" t="s">
        <v>699</v>
      </c>
      <c r="C366" s="11">
        <v>0</v>
      </c>
      <c r="G366" s="15">
        <f t="shared" si="5"/>
        <v>0</v>
      </c>
    </row>
    <row r="367" spans="1:7" x14ac:dyDescent="0.25">
      <c r="A367" s="99" t="s">
        <v>700</v>
      </c>
      <c r="B367" s="1" t="s">
        <v>701</v>
      </c>
      <c r="C367" s="11">
        <v>0</v>
      </c>
      <c r="G367" s="15">
        <f t="shared" si="5"/>
        <v>0</v>
      </c>
    </row>
    <row r="368" spans="1:7" x14ac:dyDescent="0.25">
      <c r="A368" s="99" t="s">
        <v>702</v>
      </c>
      <c r="B368" s="1" t="s">
        <v>671</v>
      </c>
      <c r="C368" s="11">
        <v>0</v>
      </c>
      <c r="G368" s="15">
        <f t="shared" si="5"/>
        <v>0</v>
      </c>
    </row>
    <row r="369" spans="1:7" x14ac:dyDescent="0.25">
      <c r="A369" s="99" t="s">
        <v>703</v>
      </c>
      <c r="B369" s="1" t="s">
        <v>704</v>
      </c>
      <c r="C369" s="11">
        <v>0</v>
      </c>
      <c r="G369" s="15">
        <f t="shared" si="5"/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workbookViewId="0">
      <selection activeCell="C1" sqref="C1:C25"/>
    </sheetView>
  </sheetViews>
  <sheetFormatPr baseColWidth="10" defaultRowHeight="15" x14ac:dyDescent="0.25"/>
  <cols>
    <col min="1" max="3" width="13.140625" bestFit="1" customWidth="1"/>
  </cols>
  <sheetData>
    <row r="1" spans="1:3" x14ac:dyDescent="0.25">
      <c r="A1" s="10">
        <v>6430078399</v>
      </c>
      <c r="B1" s="10">
        <v>2459798958</v>
      </c>
      <c r="C1" s="15">
        <f>+A1-B1</f>
        <v>3970279441</v>
      </c>
    </row>
    <row r="2" spans="1:3" x14ac:dyDescent="0.25">
      <c r="A2" s="11">
        <v>513100000</v>
      </c>
      <c r="B2" s="11">
        <v>300000000</v>
      </c>
      <c r="C2" s="15">
        <f t="shared" ref="C2:C25" si="0">+A2-B2</f>
        <v>213100000</v>
      </c>
    </row>
    <row r="3" spans="1:3" x14ac:dyDescent="0.25">
      <c r="A3" s="10">
        <v>224620761</v>
      </c>
      <c r="B3" s="10">
        <v>22481523</v>
      </c>
      <c r="C3" s="15">
        <f t="shared" si="0"/>
        <v>202139238</v>
      </c>
    </row>
    <row r="4" spans="1:3" x14ac:dyDescent="0.25">
      <c r="A4" s="11">
        <v>22481523</v>
      </c>
      <c r="B4" s="11">
        <v>22481523</v>
      </c>
      <c r="C4" s="15">
        <f t="shared" si="0"/>
        <v>0</v>
      </c>
    </row>
    <row r="5" spans="1:3" x14ac:dyDescent="0.25">
      <c r="A5" s="11">
        <v>202139238</v>
      </c>
      <c r="B5" s="11">
        <v>0</v>
      </c>
      <c r="C5" s="15">
        <f t="shared" si="0"/>
        <v>202139238</v>
      </c>
    </row>
    <row r="6" spans="1:3" x14ac:dyDescent="0.25">
      <c r="A6" s="11">
        <v>66530000</v>
      </c>
      <c r="B6" s="11">
        <v>0</v>
      </c>
      <c r="C6" s="15">
        <f t="shared" si="0"/>
        <v>66530000</v>
      </c>
    </row>
    <row r="7" spans="1:3" x14ac:dyDescent="0.25">
      <c r="A7" s="11">
        <v>128780000</v>
      </c>
      <c r="B7" s="11">
        <v>17017435</v>
      </c>
      <c r="C7" s="15">
        <f t="shared" si="0"/>
        <v>111762565</v>
      </c>
    </row>
    <row r="8" spans="1:3" x14ac:dyDescent="0.25">
      <c r="A8" s="11">
        <v>1500000000</v>
      </c>
      <c r="B8" s="11">
        <v>500000000</v>
      </c>
      <c r="C8" s="15">
        <f t="shared" si="0"/>
        <v>1000000000</v>
      </c>
    </row>
    <row r="9" spans="1:3" x14ac:dyDescent="0.25">
      <c r="A9" s="11">
        <v>600000000</v>
      </c>
      <c r="B9" s="11">
        <v>600000000</v>
      </c>
      <c r="C9" s="15">
        <f t="shared" si="0"/>
        <v>0</v>
      </c>
    </row>
    <row r="10" spans="1:3" x14ac:dyDescent="0.25">
      <c r="A10" s="11">
        <v>482650000</v>
      </c>
      <c r="B10" s="11">
        <v>0</v>
      </c>
      <c r="C10" s="15">
        <f t="shared" si="0"/>
        <v>482650000</v>
      </c>
    </row>
    <row r="11" spans="1:3" x14ac:dyDescent="0.25">
      <c r="A11" s="10">
        <v>203600000</v>
      </c>
      <c r="B11" s="10">
        <v>100000000</v>
      </c>
      <c r="C11" s="15">
        <f t="shared" si="0"/>
        <v>103600000</v>
      </c>
    </row>
    <row r="12" spans="1:3" x14ac:dyDescent="0.25">
      <c r="A12" s="11">
        <v>203600000</v>
      </c>
      <c r="B12" s="11">
        <v>100000000</v>
      </c>
      <c r="C12" s="15">
        <f t="shared" si="0"/>
        <v>103600000</v>
      </c>
    </row>
    <row r="13" spans="1:3" x14ac:dyDescent="0.25">
      <c r="A13" s="11">
        <v>1000</v>
      </c>
      <c r="B13" s="11">
        <v>0</v>
      </c>
      <c r="C13" s="15">
        <f t="shared" si="0"/>
        <v>1000</v>
      </c>
    </row>
    <row r="14" spans="1:3" x14ac:dyDescent="0.25">
      <c r="A14" s="10">
        <v>62450000</v>
      </c>
      <c r="B14" s="10">
        <v>50450000</v>
      </c>
      <c r="C14" s="15">
        <f t="shared" si="0"/>
        <v>12000000</v>
      </c>
    </row>
    <row r="15" spans="1:3" x14ac:dyDescent="0.25">
      <c r="A15" s="11">
        <v>12000000</v>
      </c>
      <c r="B15" s="11">
        <v>0</v>
      </c>
      <c r="C15" s="15">
        <f t="shared" si="0"/>
        <v>12000000</v>
      </c>
    </row>
    <row r="16" spans="1:3" x14ac:dyDescent="0.25">
      <c r="A16" s="11">
        <v>50450000</v>
      </c>
      <c r="B16" s="11">
        <v>50450000</v>
      </c>
      <c r="C16" s="15">
        <f t="shared" si="0"/>
        <v>0</v>
      </c>
    </row>
    <row r="17" spans="1:3" x14ac:dyDescent="0.25">
      <c r="A17" s="11">
        <v>200000000</v>
      </c>
      <c r="B17" s="11">
        <v>0</v>
      </c>
      <c r="C17" s="15">
        <f t="shared" si="0"/>
        <v>200000000</v>
      </c>
    </row>
    <row r="18" spans="1:3" x14ac:dyDescent="0.25">
      <c r="A18" s="10">
        <v>2448346638</v>
      </c>
      <c r="B18" s="10">
        <v>869850000</v>
      </c>
      <c r="C18" s="15">
        <f t="shared" si="0"/>
        <v>1578496638</v>
      </c>
    </row>
    <row r="19" spans="1:3" x14ac:dyDescent="0.25">
      <c r="A19" s="11">
        <v>1254000000</v>
      </c>
      <c r="B19" s="11">
        <v>500000000</v>
      </c>
      <c r="C19" s="15">
        <f t="shared" si="0"/>
        <v>754000000</v>
      </c>
    </row>
    <row r="20" spans="1:3" x14ac:dyDescent="0.25">
      <c r="A20" s="11">
        <v>362496638</v>
      </c>
      <c r="B20" s="11">
        <v>0</v>
      </c>
      <c r="C20" s="15">
        <f t="shared" si="0"/>
        <v>362496638</v>
      </c>
    </row>
    <row r="21" spans="1:3" x14ac:dyDescent="0.25">
      <c r="A21" s="11">
        <v>377000000</v>
      </c>
      <c r="B21" s="11">
        <v>0</v>
      </c>
      <c r="C21" s="15">
        <f t="shared" si="0"/>
        <v>377000000</v>
      </c>
    </row>
    <row r="22" spans="1:3" x14ac:dyDescent="0.25">
      <c r="A22" s="11">
        <v>369850000</v>
      </c>
      <c r="B22" s="11">
        <v>369850000</v>
      </c>
      <c r="C22" s="15">
        <f t="shared" si="0"/>
        <v>0</v>
      </c>
    </row>
    <row r="23" spans="1:3" x14ac:dyDescent="0.25">
      <c r="A23" s="11">
        <v>85000000</v>
      </c>
      <c r="B23" s="11">
        <v>0</v>
      </c>
      <c r="C23" s="15">
        <f t="shared" si="0"/>
        <v>85000000</v>
      </c>
    </row>
    <row r="24" spans="1:3" x14ac:dyDescent="0.25">
      <c r="A24" s="11">
        <v>295323895</v>
      </c>
      <c r="B24" s="11">
        <v>0</v>
      </c>
      <c r="C24" s="15">
        <f t="shared" si="0"/>
        <v>295323895</v>
      </c>
    </row>
    <row r="25" spans="1:3" x14ac:dyDescent="0.25">
      <c r="A25" s="11">
        <v>295323895</v>
      </c>
      <c r="B25" s="11">
        <v>0</v>
      </c>
      <c r="C25" s="15">
        <f t="shared" si="0"/>
        <v>295323895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79"/>
  <sheetViews>
    <sheetView showGridLines="0" topLeftCell="A217" workbookViewId="0">
      <selection activeCell="C160" sqref="C160:C187"/>
    </sheetView>
  </sheetViews>
  <sheetFormatPr baseColWidth="10" defaultRowHeight="15" x14ac:dyDescent="0.25"/>
  <cols>
    <col min="1" max="1" width="13" bestFit="1" customWidth="1"/>
    <col min="2" max="2" width="44.140625" customWidth="1"/>
    <col min="3" max="3" width="17.28515625" style="3" customWidth="1"/>
  </cols>
  <sheetData>
    <row r="1" spans="1:3" ht="23.25" x14ac:dyDescent="0.35">
      <c r="A1" s="166" t="s">
        <v>714</v>
      </c>
      <c r="B1" s="166"/>
      <c r="C1" s="166"/>
    </row>
    <row r="2" spans="1:3" ht="18.75" x14ac:dyDescent="0.3">
      <c r="A2" s="165" t="s">
        <v>715</v>
      </c>
      <c r="B2" s="165"/>
      <c r="C2" s="165"/>
    </row>
    <row r="3" spans="1:3" ht="15.75" x14ac:dyDescent="0.25">
      <c r="A3" s="164" t="s">
        <v>716</v>
      </c>
      <c r="B3" s="164"/>
      <c r="C3" s="164"/>
    </row>
    <row r="4" spans="1:3" s="9" customFormat="1" ht="24" x14ac:dyDescent="0.2">
      <c r="A4" s="67" t="s">
        <v>0</v>
      </c>
      <c r="B4" s="67" t="s">
        <v>1</v>
      </c>
      <c r="C4" s="68" t="s">
        <v>709</v>
      </c>
    </row>
    <row r="5" spans="1:3" s="6" customFormat="1" x14ac:dyDescent="0.25">
      <c r="A5" s="4" t="s">
        <v>8</v>
      </c>
      <c r="B5" s="5" t="s">
        <v>9</v>
      </c>
      <c r="C5" s="10">
        <v>41252475121.860008</v>
      </c>
    </row>
    <row r="6" spans="1:3" s="6" customFormat="1" x14ac:dyDescent="0.25">
      <c r="A6" s="4" t="s">
        <v>10</v>
      </c>
      <c r="B6" s="5" t="s">
        <v>11</v>
      </c>
      <c r="C6" s="10">
        <v>451490655.40999985</v>
      </c>
    </row>
    <row r="7" spans="1:3" s="6" customFormat="1" x14ac:dyDescent="0.25">
      <c r="A7" s="4" t="s">
        <v>12</v>
      </c>
      <c r="B7" s="5" t="s">
        <v>13</v>
      </c>
      <c r="C7" s="10">
        <v>43967227.449999809</v>
      </c>
    </row>
    <row r="8" spans="1:3" s="6" customFormat="1" x14ac:dyDescent="0.25">
      <c r="A8" s="4" t="s">
        <v>18</v>
      </c>
      <c r="B8" s="5" t="s">
        <v>19</v>
      </c>
      <c r="C8" s="10">
        <v>2268592.4499998093</v>
      </c>
    </row>
    <row r="9" spans="1:3" x14ac:dyDescent="0.25">
      <c r="A9" s="2" t="s">
        <v>38</v>
      </c>
      <c r="B9" s="1" t="s">
        <v>39</v>
      </c>
      <c r="C9" s="11">
        <v>2268592.4499998093</v>
      </c>
    </row>
    <row r="10" spans="1:3" s="6" customFormat="1" x14ac:dyDescent="0.25">
      <c r="A10" s="4" t="s">
        <v>44</v>
      </c>
      <c r="B10" s="5" t="s">
        <v>45</v>
      </c>
      <c r="C10" s="10">
        <v>5625964</v>
      </c>
    </row>
    <row r="11" spans="1:3" x14ac:dyDescent="0.25">
      <c r="A11" s="2" t="s">
        <v>46</v>
      </c>
      <c r="B11" s="1" t="s">
        <v>47</v>
      </c>
      <c r="C11" s="11">
        <v>5625964</v>
      </c>
    </row>
    <row r="12" spans="1:3" s="6" customFormat="1" x14ac:dyDescent="0.25">
      <c r="A12" s="4" t="s">
        <v>50</v>
      </c>
      <c r="B12" s="5" t="s">
        <v>51</v>
      </c>
      <c r="C12" s="10">
        <v>3755668</v>
      </c>
    </row>
    <row r="13" spans="1:3" x14ac:dyDescent="0.25">
      <c r="A13" s="2" t="s">
        <v>52</v>
      </c>
      <c r="B13" s="1" t="s">
        <v>51</v>
      </c>
      <c r="C13" s="11">
        <v>3755668</v>
      </c>
    </row>
    <row r="14" spans="1:3" s="6" customFormat="1" x14ac:dyDescent="0.25">
      <c r="A14" s="4" t="s">
        <v>53</v>
      </c>
      <c r="B14" s="5" t="s">
        <v>54</v>
      </c>
      <c r="C14" s="10">
        <v>7159680</v>
      </c>
    </row>
    <row r="15" spans="1:3" x14ac:dyDescent="0.25">
      <c r="A15" s="2" t="s">
        <v>55</v>
      </c>
      <c r="B15" s="1" t="s">
        <v>56</v>
      </c>
      <c r="C15" s="11">
        <v>7159680</v>
      </c>
    </row>
    <row r="16" spans="1:3" x14ac:dyDescent="0.25">
      <c r="A16" s="2" t="s">
        <v>59</v>
      </c>
      <c r="B16" s="1" t="s">
        <v>60</v>
      </c>
      <c r="C16" s="11">
        <v>2434792</v>
      </c>
    </row>
    <row r="17" spans="1:3" s="6" customFormat="1" x14ac:dyDescent="0.25">
      <c r="A17" s="4" t="s">
        <v>67</v>
      </c>
      <c r="B17" s="5" t="s">
        <v>68</v>
      </c>
      <c r="C17" s="10">
        <v>22722531</v>
      </c>
    </row>
    <row r="18" spans="1:3" s="6" customFormat="1" x14ac:dyDescent="0.25">
      <c r="A18" s="4" t="s">
        <v>69</v>
      </c>
      <c r="B18" s="5" t="s">
        <v>70</v>
      </c>
      <c r="C18" s="10">
        <v>90321</v>
      </c>
    </row>
    <row r="19" spans="1:3" x14ac:dyDescent="0.25">
      <c r="A19" s="2" t="s">
        <v>73</v>
      </c>
      <c r="B19" s="1" t="s">
        <v>74</v>
      </c>
      <c r="C19" s="11">
        <v>90321</v>
      </c>
    </row>
    <row r="20" spans="1:3" s="6" customFormat="1" x14ac:dyDescent="0.25">
      <c r="A20" s="4" t="s">
        <v>77</v>
      </c>
      <c r="B20" s="5" t="s">
        <v>78</v>
      </c>
      <c r="C20" s="10">
        <v>153463</v>
      </c>
    </row>
    <row r="21" spans="1:3" x14ac:dyDescent="0.25">
      <c r="A21" s="2" t="s">
        <v>81</v>
      </c>
      <c r="B21" s="1" t="s">
        <v>82</v>
      </c>
      <c r="C21" s="11">
        <v>153463</v>
      </c>
    </row>
    <row r="22" spans="1:3" s="6" customFormat="1" x14ac:dyDescent="0.25">
      <c r="A22" s="4" t="s">
        <v>87</v>
      </c>
      <c r="B22" s="5" t="s">
        <v>88</v>
      </c>
      <c r="C22" s="10">
        <v>7603123</v>
      </c>
    </row>
    <row r="23" spans="1:3" x14ac:dyDescent="0.25">
      <c r="A23" s="2" t="s">
        <v>89</v>
      </c>
      <c r="B23" s="1" t="s">
        <v>90</v>
      </c>
      <c r="C23" s="11">
        <v>7270944</v>
      </c>
    </row>
    <row r="24" spans="1:3" x14ac:dyDescent="0.25">
      <c r="A24" s="2" t="s">
        <v>93</v>
      </c>
      <c r="B24" s="1" t="s">
        <v>94</v>
      </c>
      <c r="C24" s="11">
        <v>199179</v>
      </c>
    </row>
    <row r="25" spans="1:3" x14ac:dyDescent="0.25">
      <c r="A25" s="2" t="s">
        <v>95</v>
      </c>
      <c r="B25" s="1" t="s">
        <v>96</v>
      </c>
      <c r="C25" s="11">
        <v>133000</v>
      </c>
    </row>
    <row r="26" spans="1:3" s="6" customFormat="1" x14ac:dyDescent="0.25">
      <c r="A26" s="4" t="s">
        <v>97</v>
      </c>
      <c r="B26" s="5" t="s">
        <v>98</v>
      </c>
      <c r="C26" s="10">
        <v>9674528</v>
      </c>
    </row>
    <row r="27" spans="1:3" x14ac:dyDescent="0.25">
      <c r="A27" s="2" t="s">
        <v>99</v>
      </c>
      <c r="B27" s="1" t="s">
        <v>100</v>
      </c>
      <c r="C27" s="11">
        <v>3474707</v>
      </c>
    </row>
    <row r="28" spans="1:3" x14ac:dyDescent="0.25">
      <c r="A28" s="2" t="s">
        <v>101</v>
      </c>
      <c r="B28" s="1" t="s">
        <v>102</v>
      </c>
      <c r="C28" s="11">
        <v>5917458</v>
      </c>
    </row>
    <row r="29" spans="1:3" x14ac:dyDescent="0.25">
      <c r="A29" s="2" t="s">
        <v>103</v>
      </c>
      <c r="B29" s="1" t="s">
        <v>104</v>
      </c>
      <c r="C29" s="11">
        <v>10020</v>
      </c>
    </row>
    <row r="30" spans="1:3" x14ac:dyDescent="0.25">
      <c r="A30" s="2" t="s">
        <v>105</v>
      </c>
      <c r="B30" s="1" t="s">
        <v>106</v>
      </c>
      <c r="C30" s="11">
        <v>140163</v>
      </c>
    </row>
    <row r="31" spans="1:3" x14ac:dyDescent="0.25">
      <c r="A31" s="2" t="s">
        <v>107</v>
      </c>
      <c r="B31" s="1" t="s">
        <v>108</v>
      </c>
      <c r="C31" s="11">
        <v>132180</v>
      </c>
    </row>
    <row r="32" spans="1:3" s="6" customFormat="1" x14ac:dyDescent="0.25">
      <c r="A32" s="4" t="s">
        <v>109</v>
      </c>
      <c r="B32" s="5" t="s">
        <v>110</v>
      </c>
      <c r="C32" s="10">
        <v>744</v>
      </c>
    </row>
    <row r="33" spans="1:3" x14ac:dyDescent="0.25">
      <c r="A33" s="2" t="s">
        <v>119</v>
      </c>
      <c r="B33" s="1" t="s">
        <v>120</v>
      </c>
      <c r="C33" s="11">
        <v>744</v>
      </c>
    </row>
    <row r="34" spans="1:3" s="6" customFormat="1" x14ac:dyDescent="0.25">
      <c r="A34" s="4" t="s">
        <v>121</v>
      </c>
      <c r="B34" s="5" t="s">
        <v>122</v>
      </c>
      <c r="C34" s="10">
        <v>88530</v>
      </c>
    </row>
    <row r="35" spans="1:3" x14ac:dyDescent="0.25">
      <c r="A35" s="2" t="s">
        <v>125</v>
      </c>
      <c r="B35" s="1" t="s">
        <v>126</v>
      </c>
      <c r="C35" s="11">
        <v>88530</v>
      </c>
    </row>
    <row r="36" spans="1:3" s="6" customFormat="1" x14ac:dyDescent="0.25">
      <c r="A36" s="4" t="s">
        <v>127</v>
      </c>
      <c r="B36" s="5" t="s">
        <v>128</v>
      </c>
      <c r="C36" s="10">
        <v>4900745</v>
      </c>
    </row>
    <row r="37" spans="1:3" x14ac:dyDescent="0.25">
      <c r="A37" s="2" t="s">
        <v>129</v>
      </c>
      <c r="B37" s="1" t="s">
        <v>130</v>
      </c>
      <c r="C37" s="11">
        <v>3692410</v>
      </c>
    </row>
    <row r="38" spans="1:3" x14ac:dyDescent="0.25">
      <c r="A38" s="2" t="s">
        <v>131</v>
      </c>
      <c r="B38" s="1" t="s">
        <v>132</v>
      </c>
      <c r="C38" s="11">
        <v>1208335</v>
      </c>
    </row>
    <row r="39" spans="1:3" s="6" customFormat="1" x14ac:dyDescent="0.25">
      <c r="A39" s="4" t="s">
        <v>135</v>
      </c>
      <c r="B39" s="5" t="s">
        <v>136</v>
      </c>
      <c r="C39" s="10">
        <v>211077</v>
      </c>
    </row>
    <row r="40" spans="1:3" x14ac:dyDescent="0.25">
      <c r="A40" s="2" t="s">
        <v>139</v>
      </c>
      <c r="B40" s="1" t="s">
        <v>140</v>
      </c>
      <c r="C40" s="11">
        <v>100000</v>
      </c>
    </row>
    <row r="41" spans="1:3" x14ac:dyDescent="0.25">
      <c r="A41" s="2" t="s">
        <v>143</v>
      </c>
      <c r="B41" s="1" t="s">
        <v>144</v>
      </c>
      <c r="C41" s="11">
        <v>111077</v>
      </c>
    </row>
    <row r="42" spans="1:3" s="6" customFormat="1" x14ac:dyDescent="0.25">
      <c r="A42" s="4" t="s">
        <v>145</v>
      </c>
      <c r="B42" s="5" t="s">
        <v>146</v>
      </c>
      <c r="C42" s="10">
        <v>348907397.96000004</v>
      </c>
    </row>
    <row r="43" spans="1:3" x14ac:dyDescent="0.25">
      <c r="A43" s="2" t="s">
        <v>147</v>
      </c>
      <c r="B43" s="1" t="s">
        <v>148</v>
      </c>
      <c r="C43" s="11">
        <v>86724333.680000007</v>
      </c>
    </row>
    <row r="44" spans="1:3" s="6" customFormat="1" x14ac:dyDescent="0.25">
      <c r="A44" s="4" t="s">
        <v>149</v>
      </c>
      <c r="B44" s="5" t="s">
        <v>150</v>
      </c>
      <c r="C44" s="10">
        <v>24786887</v>
      </c>
    </row>
    <row r="45" spans="1:3" x14ac:dyDescent="0.25">
      <c r="A45" s="2" t="s">
        <v>151</v>
      </c>
      <c r="B45" s="1" t="s">
        <v>152</v>
      </c>
      <c r="C45" s="11">
        <v>14673917</v>
      </c>
    </row>
    <row r="46" spans="1:3" x14ac:dyDescent="0.25">
      <c r="A46" s="2" t="s">
        <v>153</v>
      </c>
      <c r="B46" s="1" t="s">
        <v>154</v>
      </c>
      <c r="C46" s="11">
        <v>10112970</v>
      </c>
    </row>
    <row r="47" spans="1:3" x14ac:dyDescent="0.25">
      <c r="A47" s="2" t="s">
        <v>155</v>
      </c>
      <c r="B47" s="1" t="s">
        <v>156</v>
      </c>
      <c r="C47" s="11">
        <v>24654762.119999997</v>
      </c>
    </row>
    <row r="48" spans="1:3" x14ac:dyDescent="0.25">
      <c r="A48" s="2" t="s">
        <v>157</v>
      </c>
      <c r="B48" s="1" t="s">
        <v>158</v>
      </c>
      <c r="C48" s="11">
        <v>5037309</v>
      </c>
    </row>
    <row r="49" spans="1:3" x14ac:dyDescent="0.25">
      <c r="A49" s="2" t="s">
        <v>159</v>
      </c>
      <c r="B49" s="1" t="s">
        <v>160</v>
      </c>
      <c r="C49" s="11">
        <v>103344826</v>
      </c>
    </row>
    <row r="50" spans="1:3" x14ac:dyDescent="0.25">
      <c r="A50" s="2" t="s">
        <v>161</v>
      </c>
      <c r="B50" s="1" t="s">
        <v>162</v>
      </c>
      <c r="C50" s="11">
        <v>38056614</v>
      </c>
    </row>
    <row r="51" spans="1:3" x14ac:dyDescent="0.25">
      <c r="A51" s="2" t="s">
        <v>163</v>
      </c>
      <c r="B51" s="1" t="s">
        <v>164</v>
      </c>
      <c r="C51" s="11">
        <v>11458143</v>
      </c>
    </row>
    <row r="52" spans="1:3" s="6" customFormat="1" x14ac:dyDescent="0.25">
      <c r="A52" s="4" t="s">
        <v>165</v>
      </c>
      <c r="B52" s="5" t="s">
        <v>166</v>
      </c>
      <c r="C52" s="10">
        <v>17893207</v>
      </c>
    </row>
    <row r="53" spans="1:3" x14ac:dyDescent="0.25">
      <c r="A53" s="2" t="s">
        <v>167</v>
      </c>
      <c r="B53" s="1" t="s">
        <v>168</v>
      </c>
      <c r="C53" s="11">
        <v>17893207</v>
      </c>
    </row>
    <row r="54" spans="1:3" x14ac:dyDescent="0.25">
      <c r="A54" s="2" t="s">
        <v>169</v>
      </c>
      <c r="B54" s="1" t="s">
        <v>170</v>
      </c>
      <c r="C54" s="11">
        <v>640</v>
      </c>
    </row>
    <row r="55" spans="1:3" s="6" customFormat="1" x14ac:dyDescent="0.25">
      <c r="A55" s="4" t="s">
        <v>171</v>
      </c>
      <c r="B55" s="5" t="s">
        <v>172</v>
      </c>
      <c r="C55" s="10">
        <v>7471000</v>
      </c>
    </row>
    <row r="56" spans="1:3" x14ac:dyDescent="0.25">
      <c r="A56" s="2" t="s">
        <v>173</v>
      </c>
      <c r="B56" s="1" t="s">
        <v>174</v>
      </c>
      <c r="C56" s="11">
        <v>7471000</v>
      </c>
    </row>
    <row r="57" spans="1:3" x14ac:dyDescent="0.25">
      <c r="A57" s="2" t="s">
        <v>177</v>
      </c>
      <c r="B57" s="1" t="s">
        <v>178</v>
      </c>
      <c r="C57" s="11">
        <v>6299372.1599999964</v>
      </c>
    </row>
    <row r="58" spans="1:3" s="6" customFormat="1" x14ac:dyDescent="0.25">
      <c r="A58" s="4" t="s">
        <v>179</v>
      </c>
      <c r="B58" s="5" t="s">
        <v>180</v>
      </c>
      <c r="C58" s="10">
        <v>41073511</v>
      </c>
    </row>
    <row r="59" spans="1:3" x14ac:dyDescent="0.25">
      <c r="A59" s="2" t="s">
        <v>181</v>
      </c>
      <c r="B59" s="1" t="s">
        <v>182</v>
      </c>
      <c r="C59" s="11">
        <v>12960000</v>
      </c>
    </row>
    <row r="60" spans="1:3" x14ac:dyDescent="0.25">
      <c r="A60" s="2" t="s">
        <v>183</v>
      </c>
      <c r="B60" s="1" t="s">
        <v>184</v>
      </c>
      <c r="C60" s="11">
        <v>3498580</v>
      </c>
    </row>
    <row r="61" spans="1:3" x14ac:dyDescent="0.25">
      <c r="A61" s="2" t="s">
        <v>189</v>
      </c>
      <c r="B61" s="1" t="s">
        <v>190</v>
      </c>
      <c r="C61" s="11">
        <v>24614931</v>
      </c>
    </row>
    <row r="62" spans="1:3" x14ac:dyDescent="0.25">
      <c r="A62" s="2" t="s">
        <v>191</v>
      </c>
      <c r="B62" s="1" t="s">
        <v>192</v>
      </c>
      <c r="C62" s="11">
        <v>58616030</v>
      </c>
    </row>
    <row r="63" spans="1:3" x14ac:dyDescent="0.25">
      <c r="A63" s="2" t="s">
        <v>193</v>
      </c>
      <c r="B63" s="1" t="s">
        <v>194</v>
      </c>
      <c r="C63" s="11">
        <v>58616030</v>
      </c>
    </row>
    <row r="64" spans="1:3" s="6" customFormat="1" x14ac:dyDescent="0.25">
      <c r="A64" s="4" t="s">
        <v>203</v>
      </c>
      <c r="B64" s="5" t="s">
        <v>204</v>
      </c>
      <c r="C64" s="10">
        <v>20350173205.77</v>
      </c>
    </row>
    <row r="65" spans="1:3" s="6" customFormat="1" x14ac:dyDescent="0.25">
      <c r="A65" s="4" t="s">
        <v>205</v>
      </c>
      <c r="B65" s="5" t="s">
        <v>204</v>
      </c>
      <c r="C65" s="10">
        <v>20350173205.77</v>
      </c>
    </row>
    <row r="66" spans="1:3" s="6" customFormat="1" x14ac:dyDescent="0.25">
      <c r="A66" s="4" t="s">
        <v>206</v>
      </c>
      <c r="B66" s="5" t="s">
        <v>207</v>
      </c>
      <c r="C66" s="10">
        <v>155254799</v>
      </c>
    </row>
    <row r="67" spans="1:3" x14ac:dyDescent="0.25">
      <c r="A67" s="2" t="s">
        <v>212</v>
      </c>
      <c r="B67" s="1" t="s">
        <v>213</v>
      </c>
      <c r="C67" s="11">
        <v>1000</v>
      </c>
    </row>
    <row r="68" spans="1:3" x14ac:dyDescent="0.25">
      <c r="A68" s="2" t="s">
        <v>214</v>
      </c>
      <c r="B68" s="1" t="s">
        <v>215</v>
      </c>
      <c r="C68" s="11">
        <v>15474505</v>
      </c>
    </row>
    <row r="69" spans="1:3" x14ac:dyDescent="0.25">
      <c r="A69" s="2" t="s">
        <v>218</v>
      </c>
      <c r="B69" s="1" t="s">
        <v>219</v>
      </c>
      <c r="C69" s="11">
        <v>1000</v>
      </c>
    </row>
    <row r="70" spans="1:3" x14ac:dyDescent="0.25">
      <c r="A70" s="2" t="s">
        <v>220</v>
      </c>
      <c r="B70" s="1" t="s">
        <v>221</v>
      </c>
      <c r="C70" s="11">
        <v>1000</v>
      </c>
    </row>
    <row r="71" spans="1:3" x14ac:dyDescent="0.25">
      <c r="A71" s="2" t="s">
        <v>222</v>
      </c>
      <c r="B71" s="1" t="s">
        <v>223</v>
      </c>
      <c r="C71" s="11">
        <v>1000</v>
      </c>
    </row>
    <row r="72" spans="1:3" x14ac:dyDescent="0.25">
      <c r="A72" s="2" t="s">
        <v>228</v>
      </c>
      <c r="B72" s="1" t="s">
        <v>229</v>
      </c>
      <c r="C72" s="11">
        <v>1000</v>
      </c>
    </row>
    <row r="73" spans="1:3" x14ac:dyDescent="0.25">
      <c r="A73" s="2" t="s">
        <v>230</v>
      </c>
      <c r="B73" s="1" t="s">
        <v>231</v>
      </c>
      <c r="C73" s="11">
        <v>1000</v>
      </c>
    </row>
    <row r="74" spans="1:3" x14ac:dyDescent="0.25">
      <c r="A74" s="2" t="s">
        <v>232</v>
      </c>
      <c r="B74" s="1" t="s">
        <v>233</v>
      </c>
      <c r="C74" s="11">
        <v>1000</v>
      </c>
    </row>
    <row r="75" spans="1:3" x14ac:dyDescent="0.25">
      <c r="A75" s="2" t="s">
        <v>236</v>
      </c>
      <c r="B75" s="1" t="s">
        <v>237</v>
      </c>
      <c r="C75" s="11">
        <v>1000</v>
      </c>
    </row>
    <row r="76" spans="1:3" x14ac:dyDescent="0.25">
      <c r="A76" s="2" t="s">
        <v>238</v>
      </c>
      <c r="B76" s="1" t="s">
        <v>239</v>
      </c>
      <c r="C76" s="11">
        <v>139772294</v>
      </c>
    </row>
    <row r="77" spans="1:3" s="6" customFormat="1" x14ac:dyDescent="0.25">
      <c r="A77" s="4" t="s">
        <v>246</v>
      </c>
      <c r="B77" s="5" t="s">
        <v>247</v>
      </c>
      <c r="C77" s="10">
        <v>8865831</v>
      </c>
    </row>
    <row r="78" spans="1:3" x14ac:dyDescent="0.25">
      <c r="A78" s="2" t="s">
        <v>252</v>
      </c>
      <c r="B78" s="1" t="s">
        <v>253</v>
      </c>
      <c r="C78" s="11">
        <v>3081177</v>
      </c>
    </row>
    <row r="79" spans="1:3" x14ac:dyDescent="0.25">
      <c r="A79" s="2" t="s">
        <v>254</v>
      </c>
      <c r="B79" s="1" t="s">
        <v>255</v>
      </c>
      <c r="C79" s="11">
        <v>5775966</v>
      </c>
    </row>
    <row r="80" spans="1:3" x14ac:dyDescent="0.25">
      <c r="A80" s="2" t="s">
        <v>256</v>
      </c>
      <c r="B80" s="1" t="s">
        <v>257</v>
      </c>
      <c r="C80" s="11">
        <v>8688</v>
      </c>
    </row>
    <row r="81" spans="1:3" s="6" customFormat="1" x14ac:dyDescent="0.25">
      <c r="A81" s="4" t="s">
        <v>266</v>
      </c>
      <c r="B81" s="5" t="s">
        <v>267</v>
      </c>
      <c r="C81" s="10">
        <v>6850458142.0099993</v>
      </c>
    </row>
    <row r="82" spans="1:3" x14ac:dyDescent="0.25">
      <c r="A82" s="2" t="s">
        <v>268</v>
      </c>
      <c r="B82" s="1" t="s">
        <v>269</v>
      </c>
      <c r="C82" s="11">
        <v>1000</v>
      </c>
    </row>
    <row r="83" spans="1:3" x14ac:dyDescent="0.25">
      <c r="A83" s="2" t="s">
        <v>270</v>
      </c>
      <c r="B83" s="1" t="s">
        <v>271</v>
      </c>
      <c r="C83" s="11">
        <v>1000</v>
      </c>
    </row>
    <row r="84" spans="1:3" x14ac:dyDescent="0.25">
      <c r="A84" s="2" t="s">
        <v>272</v>
      </c>
      <c r="B84" s="1" t="s">
        <v>273</v>
      </c>
      <c r="C84" s="11">
        <v>1000</v>
      </c>
    </row>
    <row r="85" spans="1:3" s="6" customFormat="1" x14ac:dyDescent="0.25">
      <c r="A85" s="4" t="s">
        <v>274</v>
      </c>
      <c r="B85" s="5" t="s">
        <v>275</v>
      </c>
      <c r="C85" s="10">
        <v>6834234904.0099993</v>
      </c>
    </row>
    <row r="86" spans="1:3" x14ac:dyDescent="0.25">
      <c r="A86" s="2" t="s">
        <v>276</v>
      </c>
      <c r="B86" s="1" t="s">
        <v>277</v>
      </c>
      <c r="C86" s="11">
        <v>4662746880.4799995</v>
      </c>
    </row>
    <row r="87" spans="1:3" s="6" customFormat="1" x14ac:dyDescent="0.25">
      <c r="A87" s="4" t="s">
        <v>278</v>
      </c>
      <c r="B87" s="5" t="s">
        <v>279</v>
      </c>
      <c r="C87" s="10">
        <v>713525379</v>
      </c>
    </row>
    <row r="88" spans="1:3" x14ac:dyDescent="0.25">
      <c r="A88" s="2" t="s">
        <v>280</v>
      </c>
      <c r="B88" s="1" t="s">
        <v>281</v>
      </c>
      <c r="C88" s="11">
        <v>36607509</v>
      </c>
    </row>
    <row r="89" spans="1:3" x14ac:dyDescent="0.25">
      <c r="A89" s="2" t="s">
        <v>282</v>
      </c>
      <c r="B89" s="1" t="s">
        <v>251</v>
      </c>
      <c r="C89" s="11">
        <v>511528</v>
      </c>
    </row>
    <row r="90" spans="1:3" x14ac:dyDescent="0.25">
      <c r="A90" s="2" t="s">
        <v>283</v>
      </c>
      <c r="B90" s="1" t="s">
        <v>284</v>
      </c>
      <c r="C90" s="11">
        <v>173001</v>
      </c>
    </row>
    <row r="91" spans="1:3" x14ac:dyDescent="0.25">
      <c r="A91" s="2" t="s">
        <v>285</v>
      </c>
      <c r="B91" s="1" t="s">
        <v>286</v>
      </c>
      <c r="C91" s="11">
        <v>471446</v>
      </c>
    </row>
    <row r="92" spans="1:3" x14ac:dyDescent="0.25">
      <c r="A92" s="2" t="s">
        <v>287</v>
      </c>
      <c r="B92" s="1" t="s">
        <v>288</v>
      </c>
      <c r="C92" s="11">
        <v>87188500</v>
      </c>
    </row>
    <row r="93" spans="1:3" x14ac:dyDescent="0.25">
      <c r="A93" s="2" t="s">
        <v>289</v>
      </c>
      <c r="B93" s="1" t="s">
        <v>290</v>
      </c>
      <c r="C93" s="11">
        <v>76377039</v>
      </c>
    </row>
    <row r="94" spans="1:3" x14ac:dyDescent="0.25">
      <c r="A94" s="2" t="s">
        <v>291</v>
      </c>
      <c r="B94" s="1" t="s">
        <v>292</v>
      </c>
      <c r="C94" s="11">
        <v>48004211</v>
      </c>
    </row>
    <row r="95" spans="1:3" x14ac:dyDescent="0.25">
      <c r="A95" s="2" t="s">
        <v>293</v>
      </c>
      <c r="B95" s="1" t="s">
        <v>294</v>
      </c>
      <c r="C95" s="11">
        <v>1597872</v>
      </c>
    </row>
    <row r="96" spans="1:3" x14ac:dyDescent="0.25">
      <c r="A96" s="2" t="s">
        <v>295</v>
      </c>
      <c r="B96" s="1" t="s">
        <v>296</v>
      </c>
      <c r="C96" s="11">
        <v>100000000</v>
      </c>
    </row>
    <row r="97" spans="1:3" x14ac:dyDescent="0.25">
      <c r="A97" s="2" t="s">
        <v>297</v>
      </c>
      <c r="B97" s="1" t="s">
        <v>298</v>
      </c>
      <c r="C97" s="11">
        <v>8471</v>
      </c>
    </row>
    <row r="98" spans="1:3" x14ac:dyDescent="0.25">
      <c r="A98" s="2" t="s">
        <v>299</v>
      </c>
      <c r="B98" s="1" t="s">
        <v>300</v>
      </c>
      <c r="C98" s="11">
        <v>112500</v>
      </c>
    </row>
    <row r="99" spans="1:3" x14ac:dyDescent="0.25">
      <c r="A99" s="2" t="s">
        <v>301</v>
      </c>
      <c r="B99" s="1" t="s">
        <v>302</v>
      </c>
      <c r="C99" s="11">
        <v>4627288</v>
      </c>
    </row>
    <row r="100" spans="1:3" x14ac:dyDescent="0.25">
      <c r="A100" s="2" t="s">
        <v>303</v>
      </c>
      <c r="B100" s="1" t="s">
        <v>304</v>
      </c>
      <c r="C100" s="11">
        <v>14976702</v>
      </c>
    </row>
    <row r="101" spans="1:3" x14ac:dyDescent="0.25">
      <c r="A101" s="2" t="s">
        <v>307</v>
      </c>
      <c r="B101" s="1" t="s">
        <v>308</v>
      </c>
      <c r="C101" s="11">
        <v>180000000</v>
      </c>
    </row>
    <row r="102" spans="1:3" x14ac:dyDescent="0.25">
      <c r="A102" s="2" t="s">
        <v>309</v>
      </c>
      <c r="B102" s="1" t="s">
        <v>310</v>
      </c>
      <c r="C102" s="11">
        <v>162869312</v>
      </c>
    </row>
    <row r="103" spans="1:3" x14ac:dyDescent="0.25">
      <c r="A103" s="2" t="s">
        <v>311</v>
      </c>
      <c r="B103" s="1" t="s">
        <v>312</v>
      </c>
      <c r="C103" s="11">
        <v>1457962644.53</v>
      </c>
    </row>
    <row r="104" spans="1:3" x14ac:dyDescent="0.25">
      <c r="A104" s="2" t="s">
        <v>313</v>
      </c>
      <c r="B104" s="1" t="s">
        <v>314</v>
      </c>
      <c r="C104" s="11">
        <v>6213238</v>
      </c>
    </row>
    <row r="105" spans="1:3" x14ac:dyDescent="0.25">
      <c r="A105" s="2" t="s">
        <v>315</v>
      </c>
      <c r="B105" s="1" t="s">
        <v>316</v>
      </c>
      <c r="C105" s="11">
        <v>1000</v>
      </c>
    </row>
    <row r="106" spans="1:3" x14ac:dyDescent="0.25">
      <c r="A106" s="2" t="s">
        <v>317</v>
      </c>
      <c r="B106" s="1" t="s">
        <v>223</v>
      </c>
      <c r="C106" s="11">
        <v>1000</v>
      </c>
    </row>
    <row r="107" spans="1:3" x14ac:dyDescent="0.25">
      <c r="A107" s="2" t="s">
        <v>318</v>
      </c>
      <c r="B107" s="1" t="s">
        <v>319</v>
      </c>
      <c r="C107" s="11">
        <v>2000</v>
      </c>
    </row>
    <row r="108" spans="1:3" x14ac:dyDescent="0.25">
      <c r="A108" s="2" t="s">
        <v>320</v>
      </c>
      <c r="B108" s="1" t="s">
        <v>321</v>
      </c>
      <c r="C108" s="11">
        <v>1000</v>
      </c>
    </row>
    <row r="109" spans="1:3" x14ac:dyDescent="0.25">
      <c r="A109" s="2" t="s">
        <v>322</v>
      </c>
      <c r="B109" s="1" t="s">
        <v>323</v>
      </c>
      <c r="C109" s="11">
        <v>10000000</v>
      </c>
    </row>
    <row r="110" spans="1:3" x14ac:dyDescent="0.25">
      <c r="A110" s="2" t="s">
        <v>324</v>
      </c>
      <c r="B110" s="1" t="s">
        <v>325</v>
      </c>
      <c r="C110" s="11">
        <v>1000</v>
      </c>
    </row>
    <row r="111" spans="1:3" x14ac:dyDescent="0.25">
      <c r="A111" s="2" t="s">
        <v>326</v>
      </c>
      <c r="B111" s="1" t="s">
        <v>327</v>
      </c>
      <c r="C111" s="11">
        <v>1000</v>
      </c>
    </row>
    <row r="112" spans="1:3" s="6" customFormat="1" x14ac:dyDescent="0.25">
      <c r="A112" s="4" t="s">
        <v>330</v>
      </c>
      <c r="B112" s="5" t="s">
        <v>331</v>
      </c>
      <c r="C112" s="10">
        <v>140405659.50999999</v>
      </c>
    </row>
    <row r="113" spans="1:3" s="6" customFormat="1" x14ac:dyDescent="0.25">
      <c r="A113" s="4" t="s">
        <v>332</v>
      </c>
      <c r="B113" s="5" t="s">
        <v>70</v>
      </c>
      <c r="C113" s="10">
        <v>53534308</v>
      </c>
    </row>
    <row r="114" spans="1:3" x14ac:dyDescent="0.25">
      <c r="A114" s="2" t="s">
        <v>333</v>
      </c>
      <c r="B114" s="1" t="s">
        <v>334</v>
      </c>
      <c r="C114" s="11">
        <v>493489</v>
      </c>
    </row>
    <row r="115" spans="1:3" x14ac:dyDescent="0.25">
      <c r="A115" s="2" t="s">
        <v>335</v>
      </c>
      <c r="B115" s="1" t="s">
        <v>336</v>
      </c>
      <c r="C115" s="11">
        <v>52921813</v>
      </c>
    </row>
    <row r="116" spans="1:3" x14ac:dyDescent="0.25">
      <c r="A116" s="2" t="s">
        <v>337</v>
      </c>
      <c r="B116" s="1" t="s">
        <v>338</v>
      </c>
      <c r="C116" s="11">
        <v>119006</v>
      </c>
    </row>
    <row r="117" spans="1:3" s="6" customFormat="1" x14ac:dyDescent="0.25">
      <c r="A117" s="4" t="s">
        <v>343</v>
      </c>
      <c r="B117" s="5" t="s">
        <v>344</v>
      </c>
      <c r="C117" s="10">
        <v>4448864</v>
      </c>
    </row>
    <row r="118" spans="1:3" x14ac:dyDescent="0.25">
      <c r="A118" s="2" t="s">
        <v>347</v>
      </c>
      <c r="B118" s="1" t="s">
        <v>348</v>
      </c>
      <c r="C118" s="11">
        <v>54985</v>
      </c>
    </row>
    <row r="119" spans="1:3" x14ac:dyDescent="0.25">
      <c r="A119" s="2" t="s">
        <v>351</v>
      </c>
      <c r="B119" s="1" t="s">
        <v>352</v>
      </c>
      <c r="C119" s="11">
        <v>43001</v>
      </c>
    </row>
    <row r="120" spans="1:3" x14ac:dyDescent="0.25">
      <c r="A120" s="2" t="s">
        <v>353</v>
      </c>
      <c r="B120" s="1" t="s">
        <v>354</v>
      </c>
      <c r="C120" s="11">
        <v>940221</v>
      </c>
    </row>
    <row r="121" spans="1:3" x14ac:dyDescent="0.25">
      <c r="A121" s="2" t="s">
        <v>357</v>
      </c>
      <c r="B121" s="1" t="s">
        <v>358</v>
      </c>
      <c r="C121" s="11">
        <v>3410657</v>
      </c>
    </row>
    <row r="122" spans="1:3" s="6" customFormat="1" x14ac:dyDescent="0.25">
      <c r="A122" s="4" t="s">
        <v>359</v>
      </c>
      <c r="B122" s="5" t="s">
        <v>88</v>
      </c>
      <c r="C122" s="10">
        <v>344331</v>
      </c>
    </row>
    <row r="123" spans="1:3" x14ac:dyDescent="0.25">
      <c r="A123" s="2" t="s">
        <v>360</v>
      </c>
      <c r="B123" s="1" t="s">
        <v>334</v>
      </c>
      <c r="C123" s="11">
        <v>344331</v>
      </c>
    </row>
    <row r="124" spans="1:3" s="6" customFormat="1" x14ac:dyDescent="0.25">
      <c r="A124" s="4" t="s">
        <v>361</v>
      </c>
      <c r="B124" s="5" t="s">
        <v>98</v>
      </c>
      <c r="C124" s="10">
        <v>11504161.330000013</v>
      </c>
    </row>
    <row r="125" spans="1:3" x14ac:dyDescent="0.25">
      <c r="A125" s="2" t="s">
        <v>362</v>
      </c>
      <c r="B125" s="1" t="s">
        <v>334</v>
      </c>
      <c r="C125" s="11">
        <v>11504161.330000013</v>
      </c>
    </row>
    <row r="126" spans="1:3" s="6" customFormat="1" x14ac:dyDescent="0.25">
      <c r="A126" s="4" t="s">
        <v>365</v>
      </c>
      <c r="B126" s="5" t="s">
        <v>110</v>
      </c>
      <c r="C126" s="10">
        <v>13135265.899999999</v>
      </c>
    </row>
    <row r="127" spans="1:3" x14ac:dyDescent="0.25">
      <c r="A127" s="2" t="s">
        <v>366</v>
      </c>
      <c r="B127" s="1" t="s">
        <v>354</v>
      </c>
      <c r="C127" s="11">
        <v>11419115.899999999</v>
      </c>
    </row>
    <row r="128" spans="1:3" x14ac:dyDescent="0.25">
      <c r="A128" s="2" t="s">
        <v>367</v>
      </c>
      <c r="B128" s="1" t="s">
        <v>368</v>
      </c>
      <c r="C128" s="11">
        <v>1716150</v>
      </c>
    </row>
    <row r="129" spans="1:3" s="6" customFormat="1" x14ac:dyDescent="0.25">
      <c r="A129" s="4" t="s">
        <v>369</v>
      </c>
      <c r="B129" s="5" t="s">
        <v>122</v>
      </c>
      <c r="C129" s="10">
        <v>3923505</v>
      </c>
    </row>
    <row r="130" spans="1:3" x14ac:dyDescent="0.25">
      <c r="A130" s="2" t="s">
        <v>370</v>
      </c>
      <c r="B130" s="1" t="s">
        <v>371</v>
      </c>
      <c r="C130" s="11">
        <v>824952</v>
      </c>
    </row>
    <row r="131" spans="1:3" x14ac:dyDescent="0.25">
      <c r="A131" s="2" t="s">
        <v>372</v>
      </c>
      <c r="B131" s="1" t="s">
        <v>373</v>
      </c>
      <c r="C131" s="11">
        <v>40670</v>
      </c>
    </row>
    <row r="132" spans="1:3" x14ac:dyDescent="0.25">
      <c r="A132" s="2" t="s">
        <v>374</v>
      </c>
      <c r="B132" s="1" t="s">
        <v>354</v>
      </c>
      <c r="C132" s="11">
        <v>3057883</v>
      </c>
    </row>
    <row r="133" spans="1:3" s="6" customFormat="1" x14ac:dyDescent="0.25">
      <c r="A133" s="4" t="s">
        <v>375</v>
      </c>
      <c r="B133" s="5" t="s">
        <v>128</v>
      </c>
      <c r="C133" s="10">
        <v>27465631</v>
      </c>
    </row>
    <row r="134" spans="1:3" x14ac:dyDescent="0.25">
      <c r="A134" s="2" t="s">
        <v>376</v>
      </c>
      <c r="B134" s="1" t="s">
        <v>377</v>
      </c>
      <c r="C134" s="11">
        <v>12800000</v>
      </c>
    </row>
    <row r="135" spans="1:3" x14ac:dyDescent="0.25">
      <c r="A135" s="2" t="s">
        <v>378</v>
      </c>
      <c r="B135" s="1" t="s">
        <v>354</v>
      </c>
      <c r="C135" s="11">
        <v>14665631</v>
      </c>
    </row>
    <row r="136" spans="1:3" s="6" customFormat="1" x14ac:dyDescent="0.25">
      <c r="A136" s="4" t="s">
        <v>379</v>
      </c>
      <c r="B136" s="5" t="s">
        <v>380</v>
      </c>
      <c r="C136" s="10">
        <v>200000</v>
      </c>
    </row>
    <row r="137" spans="1:3" x14ac:dyDescent="0.25">
      <c r="A137" s="2" t="s">
        <v>381</v>
      </c>
      <c r="B137" s="1" t="s">
        <v>334</v>
      </c>
      <c r="C137" s="11">
        <v>200000</v>
      </c>
    </row>
    <row r="138" spans="1:3" s="6" customFormat="1" x14ac:dyDescent="0.25">
      <c r="A138" s="4" t="s">
        <v>383</v>
      </c>
      <c r="B138" s="5" t="s">
        <v>136</v>
      </c>
      <c r="C138" s="10">
        <v>28948146.279999971</v>
      </c>
    </row>
    <row r="139" spans="1:3" x14ac:dyDescent="0.25">
      <c r="A139" s="2" t="s">
        <v>384</v>
      </c>
      <c r="B139" s="1" t="s">
        <v>334</v>
      </c>
      <c r="C139" s="11">
        <v>28948146.279999971</v>
      </c>
    </row>
    <row r="140" spans="1:3" s="6" customFormat="1" x14ac:dyDescent="0.25">
      <c r="A140" s="4" t="s">
        <v>385</v>
      </c>
      <c r="B140" s="5" t="s">
        <v>386</v>
      </c>
      <c r="C140" s="10">
        <v>221508403.81</v>
      </c>
    </row>
    <row r="141" spans="1:3" s="6" customFormat="1" x14ac:dyDescent="0.25">
      <c r="A141" s="4" t="s">
        <v>387</v>
      </c>
      <c r="B141" s="5" t="s">
        <v>388</v>
      </c>
      <c r="C141" s="10">
        <v>6307474.8100000005</v>
      </c>
    </row>
    <row r="142" spans="1:3" x14ac:dyDescent="0.25">
      <c r="A142" s="2" t="s">
        <v>389</v>
      </c>
      <c r="B142" s="1" t="s">
        <v>390</v>
      </c>
      <c r="C142" s="11">
        <v>8824.8100000005215</v>
      </c>
    </row>
    <row r="143" spans="1:3" x14ac:dyDescent="0.25">
      <c r="A143" s="2" t="s">
        <v>393</v>
      </c>
      <c r="B143" s="1" t="s">
        <v>394</v>
      </c>
      <c r="C143" s="11">
        <v>6298650</v>
      </c>
    </row>
    <row r="144" spans="1:3" s="6" customFormat="1" x14ac:dyDescent="0.25">
      <c r="A144" s="4" t="s">
        <v>395</v>
      </c>
      <c r="B144" s="5" t="s">
        <v>344</v>
      </c>
      <c r="C144" s="10">
        <v>46486704</v>
      </c>
    </row>
    <row r="145" spans="1:3" x14ac:dyDescent="0.25">
      <c r="A145" s="2" t="s">
        <v>396</v>
      </c>
      <c r="B145" s="1" t="s">
        <v>397</v>
      </c>
      <c r="C145" s="11">
        <v>46486704</v>
      </c>
    </row>
    <row r="146" spans="1:3" s="6" customFormat="1" x14ac:dyDescent="0.25">
      <c r="A146" s="4" t="s">
        <v>398</v>
      </c>
      <c r="B146" s="5" t="s">
        <v>98</v>
      </c>
      <c r="C146" s="10">
        <v>76542600</v>
      </c>
    </row>
    <row r="147" spans="1:3" x14ac:dyDescent="0.25">
      <c r="A147" s="2" t="s">
        <v>399</v>
      </c>
      <c r="B147" s="1" t="s">
        <v>400</v>
      </c>
      <c r="C147" s="11">
        <v>2266800</v>
      </c>
    </row>
    <row r="148" spans="1:3" x14ac:dyDescent="0.25">
      <c r="A148" s="2" t="s">
        <v>401</v>
      </c>
      <c r="B148" s="1" t="s">
        <v>402</v>
      </c>
      <c r="C148" s="11">
        <v>56230606</v>
      </c>
    </row>
    <row r="149" spans="1:3" x14ac:dyDescent="0.25">
      <c r="A149" s="2" t="s">
        <v>403</v>
      </c>
      <c r="B149" s="1" t="s">
        <v>404</v>
      </c>
      <c r="C149" s="11">
        <v>18045194</v>
      </c>
    </row>
    <row r="150" spans="1:3" s="6" customFormat="1" x14ac:dyDescent="0.25">
      <c r="A150" s="4" t="s">
        <v>405</v>
      </c>
      <c r="B150" s="5" t="s">
        <v>128</v>
      </c>
      <c r="C150" s="10">
        <v>11154675</v>
      </c>
    </row>
    <row r="151" spans="1:3" x14ac:dyDescent="0.25">
      <c r="A151" s="2" t="s">
        <v>406</v>
      </c>
      <c r="B151" s="1" t="s">
        <v>407</v>
      </c>
      <c r="C151" s="11">
        <v>3154675</v>
      </c>
    </row>
    <row r="152" spans="1:3" x14ac:dyDescent="0.25">
      <c r="A152" s="2" t="s">
        <v>408</v>
      </c>
      <c r="B152" s="1" t="s">
        <v>409</v>
      </c>
      <c r="C152" s="11">
        <v>8000000</v>
      </c>
    </row>
    <row r="153" spans="1:3" s="6" customFormat="1" x14ac:dyDescent="0.25">
      <c r="A153" s="4" t="s">
        <v>410</v>
      </c>
      <c r="B153" s="5" t="s">
        <v>411</v>
      </c>
      <c r="C153" s="10">
        <v>81016950</v>
      </c>
    </row>
    <row r="154" spans="1:3" x14ac:dyDescent="0.25">
      <c r="A154" s="2" t="s">
        <v>412</v>
      </c>
      <c r="B154" s="1" t="s">
        <v>413</v>
      </c>
      <c r="C154" s="11">
        <v>53797522</v>
      </c>
    </row>
    <row r="155" spans="1:3" x14ac:dyDescent="0.25">
      <c r="A155" s="2" t="s">
        <v>414</v>
      </c>
      <c r="B155" s="1" t="s">
        <v>415</v>
      </c>
      <c r="C155" s="11">
        <v>11873095</v>
      </c>
    </row>
    <row r="156" spans="1:3" x14ac:dyDescent="0.25">
      <c r="A156" s="2" t="s">
        <v>416</v>
      </c>
      <c r="B156" s="1" t="s">
        <v>417</v>
      </c>
      <c r="C156" s="11">
        <v>1000</v>
      </c>
    </row>
    <row r="157" spans="1:3" x14ac:dyDescent="0.25">
      <c r="A157" s="2" t="s">
        <v>418</v>
      </c>
      <c r="B157" s="1" t="s">
        <v>419</v>
      </c>
      <c r="C157" s="11">
        <v>15345333</v>
      </c>
    </row>
    <row r="158" spans="1:3" x14ac:dyDescent="0.25">
      <c r="A158" s="2" t="s">
        <v>420</v>
      </c>
      <c r="B158" s="1" t="s">
        <v>421</v>
      </c>
      <c r="C158" s="11">
        <v>5000000000</v>
      </c>
    </row>
    <row r="159" spans="1:3" s="6" customFormat="1" x14ac:dyDescent="0.25">
      <c r="A159" s="4" t="s">
        <v>422</v>
      </c>
      <c r="B159" s="5" t="s">
        <v>423</v>
      </c>
      <c r="C159" s="10">
        <v>7973680370.4400005</v>
      </c>
    </row>
    <row r="160" spans="1:3" x14ac:dyDescent="0.25">
      <c r="A160" s="2" t="s">
        <v>424</v>
      </c>
      <c r="B160" s="1" t="s">
        <v>425</v>
      </c>
      <c r="C160" s="11">
        <v>29367434</v>
      </c>
    </row>
    <row r="161" spans="1:3" x14ac:dyDescent="0.25">
      <c r="A161" s="2" t="s">
        <v>426</v>
      </c>
      <c r="B161" s="1" t="s">
        <v>427</v>
      </c>
      <c r="C161" s="11">
        <v>2189800</v>
      </c>
    </row>
    <row r="162" spans="1:3" x14ac:dyDescent="0.25">
      <c r="A162" s="2" t="s">
        <v>428</v>
      </c>
      <c r="B162" s="1" t="s">
        <v>429</v>
      </c>
      <c r="C162" s="11">
        <v>22617868</v>
      </c>
    </row>
    <row r="163" spans="1:3" x14ac:dyDescent="0.25">
      <c r="A163" s="2" t="s">
        <v>430</v>
      </c>
      <c r="B163" s="1" t="s">
        <v>431</v>
      </c>
      <c r="C163" s="11">
        <v>3111696</v>
      </c>
    </row>
    <row r="164" spans="1:3" x14ac:dyDescent="0.25">
      <c r="A164" s="2" t="s">
        <v>432</v>
      </c>
      <c r="B164" s="1" t="s">
        <v>433</v>
      </c>
      <c r="C164" s="11">
        <v>2341642</v>
      </c>
    </row>
    <row r="165" spans="1:3" x14ac:dyDescent="0.25">
      <c r="A165" s="2" t="s">
        <v>434</v>
      </c>
      <c r="B165" s="1" t="s">
        <v>435</v>
      </c>
      <c r="C165" s="11">
        <v>36776266</v>
      </c>
    </row>
    <row r="166" spans="1:3" x14ac:dyDescent="0.25">
      <c r="A166" s="2" t="s">
        <v>440</v>
      </c>
      <c r="B166" s="1" t="s">
        <v>441</v>
      </c>
      <c r="C166" s="11">
        <v>0</v>
      </c>
    </row>
    <row r="167" spans="1:3" x14ac:dyDescent="0.25">
      <c r="A167" s="2" t="s">
        <v>444</v>
      </c>
      <c r="B167" s="1" t="s">
        <v>445</v>
      </c>
      <c r="C167" s="11">
        <v>0</v>
      </c>
    </row>
    <row r="168" spans="1:3" x14ac:dyDescent="0.25">
      <c r="A168" s="2" t="s">
        <v>446</v>
      </c>
      <c r="B168" s="1" t="s">
        <v>447</v>
      </c>
      <c r="C168" s="11">
        <v>510506</v>
      </c>
    </row>
    <row r="169" spans="1:3" x14ac:dyDescent="0.25">
      <c r="A169" s="2" t="s">
        <v>448</v>
      </c>
      <c r="B169" s="1" t="s">
        <v>449</v>
      </c>
      <c r="C169" s="11">
        <v>0</v>
      </c>
    </row>
    <row r="170" spans="1:3" x14ac:dyDescent="0.25">
      <c r="A170" s="2" t="s">
        <v>452</v>
      </c>
      <c r="B170" s="1" t="s">
        <v>453</v>
      </c>
      <c r="C170" s="11">
        <v>2517</v>
      </c>
    </row>
    <row r="171" spans="1:3" x14ac:dyDescent="0.25">
      <c r="A171" s="2" t="s">
        <v>454</v>
      </c>
      <c r="B171" s="1" t="s">
        <v>455</v>
      </c>
      <c r="C171" s="11">
        <v>3460071</v>
      </c>
    </row>
    <row r="172" spans="1:3" x14ac:dyDescent="0.25">
      <c r="A172" s="2" t="s">
        <v>456</v>
      </c>
      <c r="B172" s="1" t="s">
        <v>457</v>
      </c>
      <c r="C172" s="11">
        <v>2551969</v>
      </c>
    </row>
    <row r="173" spans="1:3" x14ac:dyDescent="0.25">
      <c r="A173" s="2" t="s">
        <v>458</v>
      </c>
      <c r="B173" s="1" t="s">
        <v>459</v>
      </c>
      <c r="C173" s="11">
        <v>0</v>
      </c>
    </row>
    <row r="174" spans="1:3" x14ac:dyDescent="0.25">
      <c r="A174" s="2" t="s">
        <v>464</v>
      </c>
      <c r="B174" s="1" t="s">
        <v>465</v>
      </c>
      <c r="C174" s="11">
        <v>143846885</v>
      </c>
    </row>
    <row r="175" spans="1:3" x14ac:dyDescent="0.25">
      <c r="A175" s="2" t="s">
        <v>466</v>
      </c>
      <c r="B175" s="1" t="s">
        <v>467</v>
      </c>
      <c r="C175" s="11">
        <v>304077260.87</v>
      </c>
    </row>
    <row r="176" spans="1:3" x14ac:dyDescent="0.25">
      <c r="A176" s="2" t="s">
        <v>468</v>
      </c>
      <c r="B176" s="1" t="s">
        <v>469</v>
      </c>
      <c r="C176" s="11">
        <v>107198314</v>
      </c>
    </row>
    <row r="177" spans="1:3" x14ac:dyDescent="0.25">
      <c r="A177" s="2" t="s">
        <v>470</v>
      </c>
      <c r="B177" s="1" t="s">
        <v>471</v>
      </c>
      <c r="C177" s="11">
        <v>51807678.599999994</v>
      </c>
    </row>
    <row r="178" spans="1:3" x14ac:dyDescent="0.25">
      <c r="A178" s="2" t="s">
        <v>472</v>
      </c>
      <c r="B178" s="1" t="s">
        <v>473</v>
      </c>
      <c r="C178" s="11">
        <v>0</v>
      </c>
    </row>
    <row r="179" spans="1:3" x14ac:dyDescent="0.25">
      <c r="A179" s="2" t="s">
        <v>474</v>
      </c>
      <c r="B179" s="1" t="s">
        <v>475</v>
      </c>
      <c r="C179" s="11">
        <v>0</v>
      </c>
    </row>
    <row r="180" spans="1:3" x14ac:dyDescent="0.25">
      <c r="A180" s="2" t="s">
        <v>476</v>
      </c>
      <c r="B180" s="1" t="s">
        <v>477</v>
      </c>
      <c r="C180" s="11">
        <v>48073611</v>
      </c>
    </row>
    <row r="181" spans="1:3" x14ac:dyDescent="0.25">
      <c r="A181" s="2" t="s">
        <v>478</v>
      </c>
      <c r="B181" s="1" t="s">
        <v>479</v>
      </c>
      <c r="C181" s="11">
        <v>121431218</v>
      </c>
    </row>
    <row r="182" spans="1:3" x14ac:dyDescent="0.25">
      <c r="A182" s="2" t="s">
        <v>482</v>
      </c>
      <c r="B182" s="1" t="s">
        <v>483</v>
      </c>
      <c r="C182" s="11">
        <v>385130</v>
      </c>
    </row>
    <row r="183" spans="1:3" x14ac:dyDescent="0.25">
      <c r="A183" s="2" t="s">
        <v>484</v>
      </c>
      <c r="B183" s="1" t="s">
        <v>485</v>
      </c>
      <c r="C183" s="11">
        <v>48738620</v>
      </c>
    </row>
    <row r="184" spans="1:3" x14ac:dyDescent="0.25">
      <c r="A184" s="2" t="s">
        <v>486</v>
      </c>
      <c r="B184" s="1" t="s">
        <v>487</v>
      </c>
      <c r="C184" s="11">
        <v>38094316</v>
      </c>
    </row>
    <row r="185" spans="1:3" x14ac:dyDescent="0.25">
      <c r="A185" s="2" t="s">
        <v>488</v>
      </c>
      <c r="B185" s="1" t="s">
        <v>718</v>
      </c>
      <c r="C185" s="11">
        <v>8644875</v>
      </c>
    </row>
    <row r="186" spans="1:3" x14ac:dyDescent="0.25">
      <c r="A186" s="2" t="s">
        <v>489</v>
      </c>
      <c r="B186" s="1" t="s">
        <v>719</v>
      </c>
      <c r="C186" s="11">
        <v>82049969</v>
      </c>
    </row>
    <row r="187" spans="1:3" x14ac:dyDescent="0.25">
      <c r="A187" s="2" t="s">
        <v>490</v>
      </c>
      <c r="B187" s="1" t="s">
        <v>720</v>
      </c>
      <c r="C187" s="11">
        <v>81283485</v>
      </c>
    </row>
    <row r="188" spans="1:3" x14ac:dyDescent="0.25">
      <c r="A188" s="2" t="s">
        <v>491</v>
      </c>
      <c r="B188" s="1" t="s">
        <v>721</v>
      </c>
      <c r="C188" s="11">
        <v>4657314</v>
      </c>
    </row>
    <row r="189" spans="1:3" x14ac:dyDescent="0.25">
      <c r="A189" s="2" t="s">
        <v>492</v>
      </c>
      <c r="B189" s="1" t="s">
        <v>722</v>
      </c>
      <c r="C189" s="11">
        <v>12301644</v>
      </c>
    </row>
    <row r="190" spans="1:3" x14ac:dyDescent="0.25">
      <c r="A190" s="2" t="s">
        <v>493</v>
      </c>
      <c r="B190" s="1" t="s">
        <v>723</v>
      </c>
      <c r="C190" s="11">
        <v>58349321</v>
      </c>
    </row>
    <row r="191" spans="1:3" x14ac:dyDescent="0.25">
      <c r="A191" s="2" t="s">
        <v>494</v>
      </c>
      <c r="B191" s="1" t="s">
        <v>724</v>
      </c>
      <c r="C191" s="11">
        <v>472429</v>
      </c>
    </row>
    <row r="192" spans="1:3" x14ac:dyDescent="0.25">
      <c r="A192" s="2" t="s">
        <v>495</v>
      </c>
      <c r="B192" s="1" t="s">
        <v>725</v>
      </c>
      <c r="C192" s="11">
        <v>49687866</v>
      </c>
    </row>
    <row r="193" spans="1:3" x14ac:dyDescent="0.25">
      <c r="A193" s="2" t="s">
        <v>496</v>
      </c>
      <c r="B193" s="1" t="s">
        <v>726</v>
      </c>
      <c r="C193" s="11">
        <v>92800</v>
      </c>
    </row>
    <row r="194" spans="1:3" x14ac:dyDescent="0.25">
      <c r="A194" s="2" t="s">
        <v>497</v>
      </c>
      <c r="B194" s="1" t="s">
        <v>727</v>
      </c>
      <c r="C194" s="11">
        <v>38181859</v>
      </c>
    </row>
    <row r="195" spans="1:3" x14ac:dyDescent="0.25">
      <c r="A195" s="2" t="s">
        <v>498</v>
      </c>
      <c r="B195" s="1" t="s">
        <v>728</v>
      </c>
      <c r="C195" s="11">
        <v>217637</v>
      </c>
    </row>
    <row r="196" spans="1:3" x14ac:dyDescent="0.25">
      <c r="A196" s="2" t="s">
        <v>500</v>
      </c>
      <c r="B196" s="1" t="s">
        <v>730</v>
      </c>
      <c r="C196" s="11">
        <v>4642800</v>
      </c>
    </row>
    <row r="197" spans="1:3" x14ac:dyDescent="0.25">
      <c r="A197" s="2" t="s">
        <v>501</v>
      </c>
      <c r="B197" s="1" t="s">
        <v>731</v>
      </c>
      <c r="C197" s="11">
        <v>522370</v>
      </c>
    </row>
    <row r="198" spans="1:3" x14ac:dyDescent="0.25">
      <c r="A198" s="2" t="s">
        <v>502</v>
      </c>
      <c r="B198" s="1" t="s">
        <v>732</v>
      </c>
      <c r="C198" s="11">
        <v>75000000</v>
      </c>
    </row>
    <row r="199" spans="1:3" x14ac:dyDescent="0.25">
      <c r="A199" s="2" t="s">
        <v>503</v>
      </c>
      <c r="B199" s="1" t="s">
        <v>504</v>
      </c>
      <c r="C199" s="11">
        <v>1133318875</v>
      </c>
    </row>
    <row r="200" spans="1:3" x14ac:dyDescent="0.25">
      <c r="A200" s="2" t="s">
        <v>505</v>
      </c>
      <c r="B200" s="1" t="s">
        <v>506</v>
      </c>
      <c r="C200" s="11">
        <v>14860459.529999999</v>
      </c>
    </row>
    <row r="201" spans="1:3" x14ac:dyDescent="0.25">
      <c r="A201" s="2" t="s">
        <v>507</v>
      </c>
      <c r="B201" s="1" t="s">
        <v>508</v>
      </c>
      <c r="C201" s="11">
        <v>29007155</v>
      </c>
    </row>
    <row r="202" spans="1:3" x14ac:dyDescent="0.25">
      <c r="A202" s="2" t="s">
        <v>509</v>
      </c>
      <c r="B202" s="1" t="s">
        <v>510</v>
      </c>
      <c r="C202" s="11">
        <v>1128486</v>
      </c>
    </row>
    <row r="203" spans="1:3" x14ac:dyDescent="0.25">
      <c r="A203" s="2" t="s">
        <v>511</v>
      </c>
      <c r="B203" s="1" t="s">
        <v>512</v>
      </c>
      <c r="C203" s="11">
        <v>2680121</v>
      </c>
    </row>
    <row r="204" spans="1:3" x14ac:dyDescent="0.25">
      <c r="A204" s="2" t="s">
        <v>513</v>
      </c>
      <c r="B204" s="1" t="s">
        <v>514</v>
      </c>
      <c r="C204" s="11">
        <v>108040401</v>
      </c>
    </row>
    <row r="205" spans="1:3" x14ac:dyDescent="0.25">
      <c r="A205" s="2" t="s">
        <v>515</v>
      </c>
      <c r="B205" s="1" t="s">
        <v>516</v>
      </c>
      <c r="C205" s="11">
        <v>57233936</v>
      </c>
    </row>
    <row r="206" spans="1:3" x14ac:dyDescent="0.25">
      <c r="A206" s="2" t="s">
        <v>517</v>
      </c>
      <c r="B206" s="1" t="s">
        <v>518</v>
      </c>
      <c r="C206" s="11">
        <v>40398042</v>
      </c>
    </row>
    <row r="207" spans="1:3" x14ac:dyDescent="0.25">
      <c r="A207" s="2" t="s">
        <v>519</v>
      </c>
      <c r="B207" s="1" t="s">
        <v>520</v>
      </c>
      <c r="C207" s="11">
        <v>250000000</v>
      </c>
    </row>
    <row r="208" spans="1:3" x14ac:dyDescent="0.25">
      <c r="A208" s="2" t="s">
        <v>523</v>
      </c>
      <c r="B208" s="1" t="s">
        <v>524</v>
      </c>
      <c r="C208" s="11">
        <v>386492.54</v>
      </c>
    </row>
    <row r="209" spans="1:3" x14ac:dyDescent="0.25">
      <c r="A209" s="2" t="s">
        <v>525</v>
      </c>
      <c r="B209" s="1" t="s">
        <v>526</v>
      </c>
      <c r="C209" s="11">
        <v>1136</v>
      </c>
    </row>
    <row r="210" spans="1:3" x14ac:dyDescent="0.25">
      <c r="A210" s="2" t="s">
        <v>527</v>
      </c>
      <c r="B210" s="1" t="s">
        <v>528</v>
      </c>
      <c r="C210" s="11">
        <v>1255248</v>
      </c>
    </row>
    <row r="211" spans="1:3" x14ac:dyDescent="0.25">
      <c r="A211" s="2" t="s">
        <v>529</v>
      </c>
      <c r="B211" s="1" t="s">
        <v>530</v>
      </c>
      <c r="C211" s="11">
        <v>59741232</v>
      </c>
    </row>
    <row r="212" spans="1:3" x14ac:dyDescent="0.25">
      <c r="A212" s="2" t="s">
        <v>531</v>
      </c>
      <c r="B212" s="1" t="s">
        <v>532</v>
      </c>
      <c r="C212" s="11">
        <v>1500000000</v>
      </c>
    </row>
    <row r="213" spans="1:3" x14ac:dyDescent="0.25">
      <c r="A213" s="2" t="s">
        <v>533</v>
      </c>
      <c r="B213" s="1" t="s">
        <v>534</v>
      </c>
      <c r="C213" s="11">
        <v>225260355</v>
      </c>
    </row>
    <row r="214" spans="1:3" x14ac:dyDescent="0.25">
      <c r="A214" s="2" t="s">
        <v>535</v>
      </c>
      <c r="B214" s="1" t="s">
        <v>536</v>
      </c>
      <c r="C214" s="11">
        <v>2486459321</v>
      </c>
    </row>
    <row r="215" spans="1:3" x14ac:dyDescent="0.25">
      <c r="A215" s="2" t="s">
        <v>537</v>
      </c>
      <c r="B215" s="1" t="s">
        <v>538</v>
      </c>
      <c r="C215" s="11">
        <v>3004977</v>
      </c>
    </row>
    <row r="216" spans="1:3" x14ac:dyDescent="0.25">
      <c r="A216" s="2" t="s">
        <v>539</v>
      </c>
      <c r="B216" s="1" t="s">
        <v>540</v>
      </c>
      <c r="C216" s="11">
        <v>450000000</v>
      </c>
    </row>
    <row r="217" spans="1:3" x14ac:dyDescent="0.25">
      <c r="A217" s="2" t="s">
        <v>541</v>
      </c>
      <c r="B217" s="1" t="s">
        <v>542</v>
      </c>
      <c r="C217" s="11">
        <v>6262866</v>
      </c>
    </row>
    <row r="218" spans="1:3" s="6" customFormat="1" x14ac:dyDescent="0.25">
      <c r="A218" s="4" t="s">
        <v>545</v>
      </c>
      <c r="B218" s="5" t="s">
        <v>546</v>
      </c>
      <c r="C218" s="10">
        <v>18039968194.200001</v>
      </c>
    </row>
    <row r="219" spans="1:3" s="6" customFormat="1" x14ac:dyDescent="0.25">
      <c r="A219" s="4" t="s">
        <v>547</v>
      </c>
      <c r="B219" s="5" t="s">
        <v>548</v>
      </c>
      <c r="C219" s="10">
        <v>2423421400.0599999</v>
      </c>
    </row>
    <row r="220" spans="1:3" x14ac:dyDescent="0.25">
      <c r="A220" s="2" t="s">
        <v>549</v>
      </c>
      <c r="B220" s="1" t="s">
        <v>550</v>
      </c>
      <c r="C220" s="11">
        <v>397553468</v>
      </c>
    </row>
    <row r="221" spans="1:3" x14ac:dyDescent="0.25">
      <c r="A221" s="2" t="s">
        <v>551</v>
      </c>
      <c r="B221" s="1" t="s">
        <v>552</v>
      </c>
      <c r="C221" s="11">
        <v>206513565</v>
      </c>
    </row>
    <row r="222" spans="1:3" x14ac:dyDescent="0.25">
      <c r="A222" s="2" t="s">
        <v>553</v>
      </c>
      <c r="B222" s="1" t="s">
        <v>554</v>
      </c>
      <c r="C222" s="11">
        <v>340805410</v>
      </c>
    </row>
    <row r="223" spans="1:3" x14ac:dyDescent="0.25">
      <c r="A223" s="2" t="s">
        <v>555</v>
      </c>
      <c r="B223" s="1" t="s">
        <v>556</v>
      </c>
      <c r="C223" s="11">
        <v>240619478</v>
      </c>
    </row>
    <row r="224" spans="1:3" x14ac:dyDescent="0.25">
      <c r="A224" s="2" t="s">
        <v>557</v>
      </c>
      <c r="B224" s="1" t="s">
        <v>558</v>
      </c>
      <c r="C224" s="11">
        <v>1151724</v>
      </c>
    </row>
    <row r="225" spans="1:3" x14ac:dyDescent="0.25">
      <c r="A225" s="2" t="s">
        <v>559</v>
      </c>
      <c r="B225" s="1" t="s">
        <v>560</v>
      </c>
      <c r="C225" s="11">
        <v>202224715.05999994</v>
      </c>
    </row>
    <row r="226" spans="1:3" x14ac:dyDescent="0.25">
      <c r="A226" s="2" t="s">
        <v>561</v>
      </c>
      <c r="B226" s="1" t="s">
        <v>562</v>
      </c>
      <c r="C226" s="11">
        <v>201872606</v>
      </c>
    </row>
    <row r="227" spans="1:3" x14ac:dyDescent="0.25">
      <c r="A227" s="2" t="s">
        <v>563</v>
      </c>
      <c r="B227" s="1" t="s">
        <v>564</v>
      </c>
      <c r="C227" s="11">
        <v>887435</v>
      </c>
    </row>
    <row r="228" spans="1:3" x14ac:dyDescent="0.25">
      <c r="A228" s="2" t="s">
        <v>565</v>
      </c>
      <c r="B228" s="1" t="s">
        <v>566</v>
      </c>
      <c r="C228" s="11">
        <v>713244414</v>
      </c>
    </row>
    <row r="229" spans="1:3" x14ac:dyDescent="0.25">
      <c r="A229" s="2" t="s">
        <v>567</v>
      </c>
      <c r="B229" s="1" t="s">
        <v>568</v>
      </c>
      <c r="C229" s="11">
        <v>690072</v>
      </c>
    </row>
    <row r="230" spans="1:3" x14ac:dyDescent="0.25">
      <c r="A230" s="2" t="s">
        <v>569</v>
      </c>
      <c r="B230" s="1" t="s">
        <v>118</v>
      </c>
      <c r="C230" s="11">
        <v>9976787</v>
      </c>
    </row>
    <row r="231" spans="1:3" x14ac:dyDescent="0.25">
      <c r="A231" s="2" t="s">
        <v>570</v>
      </c>
      <c r="B231" s="1" t="s">
        <v>571</v>
      </c>
      <c r="C231" s="11">
        <v>61122893</v>
      </c>
    </row>
    <row r="232" spans="1:3" x14ac:dyDescent="0.25">
      <c r="A232" s="2" t="s">
        <v>572</v>
      </c>
      <c r="B232" s="1" t="s">
        <v>573</v>
      </c>
      <c r="C232" s="11">
        <v>33495251</v>
      </c>
    </row>
    <row r="233" spans="1:3" x14ac:dyDescent="0.25">
      <c r="A233" s="2" t="s">
        <v>574</v>
      </c>
      <c r="B233" s="1" t="s">
        <v>575</v>
      </c>
      <c r="C233" s="11">
        <v>13263582</v>
      </c>
    </row>
    <row r="234" spans="1:3" s="6" customFormat="1" x14ac:dyDescent="0.25">
      <c r="A234" s="4" t="s">
        <v>576</v>
      </c>
      <c r="B234" s="5" t="s">
        <v>577</v>
      </c>
      <c r="C234" s="10">
        <v>15608600285.4</v>
      </c>
    </row>
    <row r="235" spans="1:3" x14ac:dyDescent="0.25">
      <c r="A235" s="2" t="s">
        <v>578</v>
      </c>
      <c r="B235" s="1" t="s">
        <v>579</v>
      </c>
      <c r="C235" s="11">
        <v>2926403684</v>
      </c>
    </row>
    <row r="236" spans="1:3" x14ac:dyDescent="0.25">
      <c r="A236" s="2" t="s">
        <v>580</v>
      </c>
      <c r="B236" s="1" t="s">
        <v>581</v>
      </c>
      <c r="C236" s="11">
        <v>11868450171</v>
      </c>
    </row>
    <row r="237" spans="1:3" x14ac:dyDescent="0.25">
      <c r="A237" s="2" t="s">
        <v>582</v>
      </c>
      <c r="B237" s="1" t="s">
        <v>583</v>
      </c>
      <c r="C237" s="11">
        <v>519382093</v>
      </c>
    </row>
    <row r="238" spans="1:3" x14ac:dyDescent="0.25">
      <c r="A238" s="2" t="s">
        <v>584</v>
      </c>
      <c r="B238" s="1" t="s">
        <v>585</v>
      </c>
      <c r="C238" s="11">
        <v>274615279.39999998</v>
      </c>
    </row>
    <row r="239" spans="1:3" x14ac:dyDescent="0.25">
      <c r="A239" s="2" t="s">
        <v>586</v>
      </c>
      <c r="B239" s="1" t="s">
        <v>587</v>
      </c>
      <c r="C239" s="11">
        <v>19749058</v>
      </c>
    </row>
    <row r="240" spans="1:3" x14ac:dyDescent="0.25">
      <c r="A240" s="2" t="s">
        <v>590</v>
      </c>
      <c r="B240" s="1" t="s">
        <v>591</v>
      </c>
      <c r="C240" s="11">
        <v>2258097.7400000095</v>
      </c>
    </row>
    <row r="241" spans="1:3" x14ac:dyDescent="0.25">
      <c r="A241" s="2" t="s">
        <v>592</v>
      </c>
      <c r="B241" s="1" t="s">
        <v>593</v>
      </c>
      <c r="C241" s="11">
        <v>5688411</v>
      </c>
    </row>
    <row r="242" spans="1:3" s="6" customFormat="1" x14ac:dyDescent="0.25">
      <c r="A242" s="4" t="s">
        <v>596</v>
      </c>
      <c r="B242" s="5" t="s">
        <v>597</v>
      </c>
      <c r="C242" s="10">
        <v>2410843066.48</v>
      </c>
    </row>
    <row r="243" spans="1:3" s="6" customFormat="1" x14ac:dyDescent="0.25">
      <c r="A243" s="4" t="s">
        <v>598</v>
      </c>
      <c r="B243" s="5" t="s">
        <v>599</v>
      </c>
      <c r="C243" s="10">
        <v>381218737.48000002</v>
      </c>
    </row>
    <row r="244" spans="1:3" s="6" customFormat="1" x14ac:dyDescent="0.25">
      <c r="A244" s="4" t="s">
        <v>600</v>
      </c>
      <c r="B244" s="5" t="s">
        <v>601</v>
      </c>
      <c r="C244" s="10">
        <v>16702770</v>
      </c>
    </row>
    <row r="245" spans="1:3" x14ac:dyDescent="0.25">
      <c r="A245" s="2" t="s">
        <v>602</v>
      </c>
      <c r="B245" s="1" t="s">
        <v>603</v>
      </c>
      <c r="C245" s="11">
        <v>1437747</v>
      </c>
    </row>
    <row r="246" spans="1:3" x14ac:dyDescent="0.25">
      <c r="A246" s="2" t="s">
        <v>606</v>
      </c>
      <c r="B246" s="1" t="s">
        <v>607</v>
      </c>
      <c r="C246" s="11">
        <v>5800251</v>
      </c>
    </row>
    <row r="247" spans="1:3" x14ac:dyDescent="0.25">
      <c r="A247" s="2" t="s">
        <v>612</v>
      </c>
      <c r="B247" s="1" t="s">
        <v>613</v>
      </c>
      <c r="C247" s="11">
        <v>9464772</v>
      </c>
    </row>
    <row r="248" spans="1:3" s="6" customFormat="1" x14ac:dyDescent="0.25">
      <c r="A248" s="4" t="s">
        <v>622</v>
      </c>
      <c r="B248" s="5" t="s">
        <v>623</v>
      </c>
      <c r="C248" s="10">
        <v>86421779</v>
      </c>
    </row>
    <row r="249" spans="1:3" x14ac:dyDescent="0.25">
      <c r="A249" s="2" t="s">
        <v>626</v>
      </c>
      <c r="B249" s="1" t="s">
        <v>627</v>
      </c>
      <c r="C249" s="11">
        <v>6800000</v>
      </c>
    </row>
    <row r="250" spans="1:3" x14ac:dyDescent="0.25">
      <c r="A250" s="2" t="s">
        <v>628</v>
      </c>
      <c r="B250" s="1" t="s">
        <v>629</v>
      </c>
      <c r="C250" s="11">
        <v>2845807</v>
      </c>
    </row>
    <row r="251" spans="1:3" x14ac:dyDescent="0.25">
      <c r="A251" s="2" t="s">
        <v>630</v>
      </c>
      <c r="B251" s="1" t="s">
        <v>631</v>
      </c>
      <c r="C251" s="11">
        <v>926376</v>
      </c>
    </row>
    <row r="252" spans="1:3" x14ac:dyDescent="0.25">
      <c r="A252" s="2" t="s">
        <v>632</v>
      </c>
      <c r="B252" s="1" t="s">
        <v>633</v>
      </c>
      <c r="C252" s="11">
        <v>25523822</v>
      </c>
    </row>
    <row r="253" spans="1:3" x14ac:dyDescent="0.25">
      <c r="A253" s="2" t="s">
        <v>638</v>
      </c>
      <c r="B253" s="1" t="s">
        <v>639</v>
      </c>
      <c r="C253" s="11">
        <v>3720695</v>
      </c>
    </row>
    <row r="254" spans="1:3" x14ac:dyDescent="0.25">
      <c r="A254" s="2" t="s">
        <v>640</v>
      </c>
      <c r="B254" s="1" t="s">
        <v>641</v>
      </c>
      <c r="C254" s="11">
        <v>42162589</v>
      </c>
    </row>
    <row r="255" spans="1:3" x14ac:dyDescent="0.25">
      <c r="A255" s="2" t="s">
        <v>642</v>
      </c>
      <c r="B255" s="1" t="s">
        <v>643</v>
      </c>
      <c r="C255" s="11">
        <v>40264</v>
      </c>
    </row>
    <row r="256" spans="1:3" x14ac:dyDescent="0.25">
      <c r="A256" s="2" t="s">
        <v>644</v>
      </c>
      <c r="B256" s="1" t="s">
        <v>645</v>
      </c>
      <c r="C256" s="11">
        <v>3000000</v>
      </c>
    </row>
    <row r="257" spans="1:3" x14ac:dyDescent="0.25">
      <c r="A257" s="2" t="s">
        <v>646</v>
      </c>
      <c r="B257" s="1" t="s">
        <v>647</v>
      </c>
      <c r="C257" s="11">
        <v>152226</v>
      </c>
    </row>
    <row r="258" spans="1:3" x14ac:dyDescent="0.25">
      <c r="A258" s="2" t="s">
        <v>648</v>
      </c>
      <c r="B258" s="1" t="s">
        <v>649</v>
      </c>
      <c r="C258" s="11">
        <v>1250000</v>
      </c>
    </row>
    <row r="259" spans="1:3" s="6" customFormat="1" x14ac:dyDescent="0.25">
      <c r="A259" s="4" t="s">
        <v>650</v>
      </c>
      <c r="B259" s="5" t="s">
        <v>651</v>
      </c>
      <c r="C259" s="10">
        <v>278094188.48000002</v>
      </c>
    </row>
    <row r="260" spans="1:3" x14ac:dyDescent="0.25">
      <c r="A260" s="2" t="s">
        <v>654</v>
      </c>
      <c r="B260" s="1" t="s">
        <v>655</v>
      </c>
      <c r="C260" s="11">
        <v>50000000</v>
      </c>
    </row>
    <row r="261" spans="1:3" x14ac:dyDescent="0.25">
      <c r="A261" s="2" t="s">
        <v>658</v>
      </c>
      <c r="B261" s="1" t="s">
        <v>659</v>
      </c>
      <c r="C261" s="11">
        <v>30438031</v>
      </c>
    </row>
    <row r="262" spans="1:3" x14ac:dyDescent="0.25">
      <c r="A262" s="2" t="s">
        <v>662</v>
      </c>
      <c r="B262" s="1" t="s">
        <v>663</v>
      </c>
      <c r="C262" s="11">
        <v>88741376.480000019</v>
      </c>
    </row>
    <row r="263" spans="1:3" x14ac:dyDescent="0.25">
      <c r="A263" s="2" t="s">
        <v>666</v>
      </c>
      <c r="B263" s="1" t="s">
        <v>667</v>
      </c>
      <c r="C263" s="11">
        <v>20000000</v>
      </c>
    </row>
    <row r="264" spans="1:3" x14ac:dyDescent="0.25">
      <c r="A264" s="2" t="s">
        <v>668</v>
      </c>
      <c r="B264" s="1" t="s">
        <v>669</v>
      </c>
      <c r="C264" s="11">
        <v>337916</v>
      </c>
    </row>
    <row r="265" spans="1:3" x14ac:dyDescent="0.25">
      <c r="A265" s="2" t="s">
        <v>670</v>
      </c>
      <c r="B265" s="1" t="s">
        <v>671</v>
      </c>
      <c r="C265" s="11">
        <v>3093330</v>
      </c>
    </row>
    <row r="266" spans="1:3" x14ac:dyDescent="0.25">
      <c r="A266" s="2" t="s">
        <v>676</v>
      </c>
      <c r="B266" s="1" t="s">
        <v>677</v>
      </c>
      <c r="C266" s="11">
        <v>1989591</v>
      </c>
    </row>
    <row r="267" spans="1:3" x14ac:dyDescent="0.25">
      <c r="A267" s="2" t="s">
        <v>678</v>
      </c>
      <c r="B267" s="1" t="s">
        <v>679</v>
      </c>
      <c r="C267" s="11">
        <v>942973</v>
      </c>
    </row>
    <row r="268" spans="1:3" x14ac:dyDescent="0.25">
      <c r="A268" s="2" t="s">
        <v>682</v>
      </c>
      <c r="B268" s="1" t="s">
        <v>683</v>
      </c>
      <c r="C268" s="11">
        <v>47234273</v>
      </c>
    </row>
    <row r="269" spans="1:3" x14ac:dyDescent="0.25">
      <c r="A269" s="2" t="s">
        <v>684</v>
      </c>
      <c r="B269" s="1" t="s">
        <v>685</v>
      </c>
      <c r="C269" s="11">
        <v>11215700</v>
      </c>
    </row>
    <row r="270" spans="1:3" x14ac:dyDescent="0.25">
      <c r="A270" s="2" t="s">
        <v>688</v>
      </c>
      <c r="B270" s="1" t="s">
        <v>689</v>
      </c>
      <c r="C270" s="11">
        <v>7505054</v>
      </c>
    </row>
    <row r="271" spans="1:3" x14ac:dyDescent="0.25">
      <c r="A271" s="2" t="s">
        <v>690</v>
      </c>
      <c r="B271" s="1" t="s">
        <v>691</v>
      </c>
      <c r="C271" s="11">
        <v>16595944</v>
      </c>
    </row>
    <row r="272" spans="1:3" s="6" customFormat="1" x14ac:dyDescent="0.25">
      <c r="A272" s="4" t="s">
        <v>694</v>
      </c>
      <c r="B272" s="5" t="s">
        <v>695</v>
      </c>
      <c r="C272" s="10">
        <v>2029624329</v>
      </c>
    </row>
    <row r="273" spans="1:3" s="6" customFormat="1" x14ac:dyDescent="0.25">
      <c r="A273" s="4" t="s">
        <v>696</v>
      </c>
      <c r="B273" s="5" t="s">
        <v>697</v>
      </c>
      <c r="C273" s="10">
        <v>2029624329</v>
      </c>
    </row>
    <row r="274" spans="1:3" x14ac:dyDescent="0.25">
      <c r="A274" s="2" t="s">
        <v>698</v>
      </c>
      <c r="B274" s="1" t="s">
        <v>699</v>
      </c>
      <c r="C274" s="11">
        <v>2003728988</v>
      </c>
    </row>
    <row r="275" spans="1:3" x14ac:dyDescent="0.25">
      <c r="A275" s="2" t="s">
        <v>700</v>
      </c>
      <c r="B275" s="1" t="s">
        <v>701</v>
      </c>
      <c r="C275" s="11">
        <v>21860341</v>
      </c>
    </row>
    <row r="276" spans="1:3" x14ac:dyDescent="0.25">
      <c r="A276" s="2" t="s">
        <v>702</v>
      </c>
      <c r="B276" s="1" t="s">
        <v>671</v>
      </c>
      <c r="C276" s="11">
        <v>1000000</v>
      </c>
    </row>
    <row r="277" spans="1:3" x14ac:dyDescent="0.25">
      <c r="A277" s="2" t="s">
        <v>703</v>
      </c>
      <c r="B277" s="1" t="s">
        <v>704</v>
      </c>
      <c r="C277" s="11">
        <v>3035000</v>
      </c>
    </row>
    <row r="279" spans="1:3" x14ac:dyDescent="0.25">
      <c r="C279" s="13"/>
    </row>
  </sheetData>
  <autoFilter ref="A4:C284"/>
  <mergeCells count="3">
    <mergeCell ref="A1:C1"/>
    <mergeCell ref="A2:C2"/>
    <mergeCell ref="A3:C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202"/>
  <sheetViews>
    <sheetView showGridLines="0" topLeftCell="A119" workbookViewId="0">
      <selection activeCell="A194" sqref="A194:C202"/>
    </sheetView>
  </sheetViews>
  <sheetFormatPr baseColWidth="10" defaultRowHeight="15" x14ac:dyDescent="0.25"/>
  <cols>
    <col min="1" max="1" width="13" style="70" bestFit="1" customWidth="1"/>
    <col min="2" max="2" width="62.85546875" style="88" customWidth="1"/>
    <col min="3" max="3" width="20.140625" style="70" bestFit="1" customWidth="1"/>
    <col min="4" max="16384" width="11.42578125" style="70"/>
  </cols>
  <sheetData>
    <row r="1" spans="1:3" ht="24" x14ac:dyDescent="0.25">
      <c r="A1" s="67" t="s">
        <v>0</v>
      </c>
      <c r="B1" s="86" t="s">
        <v>1</v>
      </c>
      <c r="C1" s="68" t="s">
        <v>709</v>
      </c>
    </row>
    <row r="2" spans="1:3" x14ac:dyDescent="0.25">
      <c r="A2" s="75">
        <v>211001</v>
      </c>
      <c r="B2" s="87" t="s">
        <v>336</v>
      </c>
      <c r="C2" s="76">
        <v>52921813</v>
      </c>
    </row>
    <row r="3" spans="1:3" x14ac:dyDescent="0.25">
      <c r="A3" s="75">
        <v>211002</v>
      </c>
      <c r="B3" s="87" t="s">
        <v>397</v>
      </c>
      <c r="C3" s="76">
        <v>46486704</v>
      </c>
    </row>
    <row r="4" spans="1:3" x14ac:dyDescent="0.25">
      <c r="A4" s="75">
        <v>211003</v>
      </c>
      <c r="B4" s="87" t="s">
        <v>400</v>
      </c>
      <c r="C4" s="76">
        <v>2266800</v>
      </c>
    </row>
    <row r="5" spans="1:3" x14ac:dyDescent="0.25">
      <c r="A5" s="75">
        <v>211004</v>
      </c>
      <c r="B5" s="87" t="s">
        <v>402</v>
      </c>
      <c r="C5" s="76">
        <v>56230606</v>
      </c>
    </row>
    <row r="6" spans="1:3" x14ac:dyDescent="0.25">
      <c r="A6" s="75">
        <v>211005</v>
      </c>
      <c r="B6" s="87" t="s">
        <v>407</v>
      </c>
      <c r="C6" s="76">
        <v>3154675</v>
      </c>
    </row>
    <row r="7" spans="1:3" ht="30" x14ac:dyDescent="0.25">
      <c r="A7" s="75">
        <v>211006</v>
      </c>
      <c r="B7" s="87" t="s">
        <v>409</v>
      </c>
      <c r="C7" s="76">
        <v>8000000</v>
      </c>
    </row>
    <row r="8" spans="1:3" ht="30" x14ac:dyDescent="0.25">
      <c r="A8" s="75">
        <v>211007</v>
      </c>
      <c r="B8" s="87" t="s">
        <v>413</v>
      </c>
      <c r="C8" s="76">
        <v>53797522</v>
      </c>
    </row>
    <row r="10" spans="1:3" s="96" customFormat="1" x14ac:dyDescent="0.25">
      <c r="A10" s="19" t="s">
        <v>733</v>
      </c>
      <c r="B10" s="19" t="s">
        <v>1</v>
      </c>
      <c r="C10" s="45" t="s">
        <v>734</v>
      </c>
    </row>
    <row r="11" spans="1:3" x14ac:dyDescent="0.25">
      <c r="A11" s="2">
        <v>210703</v>
      </c>
      <c r="B11" s="44" t="s">
        <v>425</v>
      </c>
      <c r="C11" s="80">
        <v>29367434</v>
      </c>
    </row>
    <row r="12" spans="1:3" ht="30" x14ac:dyDescent="0.25">
      <c r="A12" s="2">
        <v>210704</v>
      </c>
      <c r="B12" s="44" t="s">
        <v>427</v>
      </c>
      <c r="C12" s="80">
        <v>2189800</v>
      </c>
    </row>
    <row r="13" spans="1:3" ht="30" x14ac:dyDescent="0.25">
      <c r="A13" s="2">
        <v>210705</v>
      </c>
      <c r="B13" s="44" t="s">
        <v>429</v>
      </c>
      <c r="C13" s="80">
        <v>22617868</v>
      </c>
    </row>
    <row r="14" spans="1:3" x14ac:dyDescent="0.25">
      <c r="A14" s="2">
        <v>210706</v>
      </c>
      <c r="B14" s="44" t="s">
        <v>431</v>
      </c>
      <c r="C14" s="80">
        <v>3111696</v>
      </c>
    </row>
    <row r="15" spans="1:3" x14ac:dyDescent="0.25">
      <c r="A15" s="2">
        <v>210707</v>
      </c>
      <c r="B15" s="44" t="s">
        <v>433</v>
      </c>
      <c r="C15" s="80">
        <v>2341642</v>
      </c>
    </row>
    <row r="16" spans="1:3" x14ac:dyDescent="0.25">
      <c r="A16" s="2">
        <v>210708</v>
      </c>
      <c r="B16" s="44" t="s">
        <v>435</v>
      </c>
      <c r="C16" s="80">
        <v>36776266</v>
      </c>
    </row>
    <row r="17" spans="1:3" ht="30" x14ac:dyDescent="0.25">
      <c r="A17" s="2">
        <v>210709</v>
      </c>
      <c r="B17" s="44" t="s">
        <v>441</v>
      </c>
      <c r="C17" s="80">
        <v>510506</v>
      </c>
    </row>
    <row r="18" spans="1:3" x14ac:dyDescent="0.25">
      <c r="A18" s="2">
        <v>210710</v>
      </c>
      <c r="B18" s="44" t="s">
        <v>445</v>
      </c>
      <c r="C18" s="80">
        <v>2517</v>
      </c>
    </row>
    <row r="19" spans="1:3" ht="30" x14ac:dyDescent="0.25">
      <c r="A19" s="2">
        <v>210711</v>
      </c>
      <c r="B19" s="44" t="s">
        <v>447</v>
      </c>
      <c r="C19" s="80">
        <v>3460071</v>
      </c>
    </row>
    <row r="20" spans="1:3" ht="30" x14ac:dyDescent="0.25">
      <c r="A20" s="2">
        <v>210712</v>
      </c>
      <c r="B20" s="44" t="s">
        <v>449</v>
      </c>
      <c r="C20" s="80">
        <v>2551969</v>
      </c>
    </row>
    <row r="21" spans="1:3" ht="30" x14ac:dyDescent="0.25">
      <c r="A21" s="2">
        <v>210713</v>
      </c>
      <c r="B21" s="44" t="s">
        <v>453</v>
      </c>
      <c r="C21" s="80">
        <v>143846885</v>
      </c>
    </row>
    <row r="22" spans="1:3" ht="30" x14ac:dyDescent="0.25">
      <c r="A22" s="2">
        <v>210714</v>
      </c>
      <c r="B22" s="44" t="s">
        <v>455</v>
      </c>
      <c r="C22" s="80">
        <v>304077260.87</v>
      </c>
    </row>
    <row r="23" spans="1:3" x14ac:dyDescent="0.25">
      <c r="A23" s="2">
        <v>210715</v>
      </c>
      <c r="B23" s="44" t="s">
        <v>457</v>
      </c>
      <c r="C23" s="80">
        <v>107198314</v>
      </c>
    </row>
    <row r="24" spans="1:3" x14ac:dyDescent="0.25">
      <c r="A24" s="2">
        <v>210716</v>
      </c>
      <c r="B24" s="44" t="s">
        <v>459</v>
      </c>
      <c r="C24" s="80">
        <v>51807678.599999994</v>
      </c>
    </row>
    <row r="25" spans="1:3" ht="30" x14ac:dyDescent="0.25">
      <c r="A25" s="2">
        <v>210717</v>
      </c>
      <c r="B25" s="44" t="s">
        <v>465</v>
      </c>
      <c r="C25" s="80">
        <v>48073611</v>
      </c>
    </row>
    <row r="26" spans="1:3" ht="30" x14ac:dyDescent="0.25">
      <c r="A26" s="2">
        <v>210718</v>
      </c>
      <c r="B26" s="44" t="s">
        <v>467</v>
      </c>
      <c r="C26" s="80">
        <v>121431218</v>
      </c>
    </row>
    <row r="27" spans="1:3" x14ac:dyDescent="0.25">
      <c r="A27" s="2">
        <v>210719</v>
      </c>
      <c r="B27" s="44" t="s">
        <v>469</v>
      </c>
      <c r="C27" s="80">
        <v>385130</v>
      </c>
    </row>
    <row r="28" spans="1:3" ht="30" x14ac:dyDescent="0.25">
      <c r="A28" s="2">
        <v>210720</v>
      </c>
      <c r="B28" s="44" t="s">
        <v>471</v>
      </c>
      <c r="C28" s="80">
        <v>48738620</v>
      </c>
    </row>
    <row r="29" spans="1:3" ht="30" x14ac:dyDescent="0.25">
      <c r="A29" s="2">
        <v>210721</v>
      </c>
      <c r="B29" s="44" t="s">
        <v>473</v>
      </c>
      <c r="C29" s="80">
        <v>38094316</v>
      </c>
    </row>
    <row r="30" spans="1:3" ht="30" x14ac:dyDescent="0.25">
      <c r="A30" s="2">
        <v>210722</v>
      </c>
      <c r="B30" s="44" t="s">
        <v>475</v>
      </c>
      <c r="C30" s="80">
        <v>8644875</v>
      </c>
    </row>
    <row r="31" spans="1:3" ht="30" x14ac:dyDescent="0.25">
      <c r="A31" s="2">
        <v>210723</v>
      </c>
      <c r="B31" s="44" t="s">
        <v>477</v>
      </c>
      <c r="C31" s="80">
        <v>82049969</v>
      </c>
    </row>
    <row r="32" spans="1:3" ht="30" x14ac:dyDescent="0.25">
      <c r="A32" s="2">
        <v>210724</v>
      </c>
      <c r="B32" s="44" t="s">
        <v>479</v>
      </c>
      <c r="C32" s="80">
        <v>81283485</v>
      </c>
    </row>
    <row r="33" spans="1:3" x14ac:dyDescent="0.25">
      <c r="A33" s="171" t="s">
        <v>822</v>
      </c>
      <c r="B33" s="171"/>
      <c r="C33" s="81">
        <f>SUM(C11:C32)</f>
        <v>1138561131.47</v>
      </c>
    </row>
    <row r="34" spans="1:3" x14ac:dyDescent="0.25">
      <c r="A34" s="2"/>
      <c r="B34" s="44"/>
      <c r="C34" s="11"/>
    </row>
    <row r="35" spans="1:3" x14ac:dyDescent="0.25">
      <c r="A35" s="2"/>
      <c r="B35" s="44"/>
      <c r="C35" s="11"/>
    </row>
    <row r="36" spans="1:3" s="96" customFormat="1" x14ac:dyDescent="0.25">
      <c r="A36" s="19" t="s">
        <v>733</v>
      </c>
      <c r="B36" s="19" t="s">
        <v>1</v>
      </c>
      <c r="C36" s="45" t="s">
        <v>734</v>
      </c>
    </row>
    <row r="37" spans="1:3" ht="30" x14ac:dyDescent="0.25">
      <c r="A37" s="2">
        <v>210725</v>
      </c>
      <c r="B37" s="44" t="s">
        <v>483</v>
      </c>
      <c r="C37" s="80">
        <v>43127912</v>
      </c>
    </row>
    <row r="38" spans="1:3" ht="30" x14ac:dyDescent="0.25">
      <c r="A38" s="2">
        <v>210726</v>
      </c>
      <c r="B38" s="44" t="s">
        <v>485</v>
      </c>
      <c r="C38" s="80">
        <v>293826</v>
      </c>
    </row>
    <row r="39" spans="1:3" x14ac:dyDescent="0.25">
      <c r="A39" s="2">
        <v>210727</v>
      </c>
      <c r="B39" s="44" t="s">
        <v>487</v>
      </c>
      <c r="C39" s="80">
        <v>375863</v>
      </c>
    </row>
    <row r="40" spans="1:3" ht="30" x14ac:dyDescent="0.25">
      <c r="A40" s="2">
        <v>210728</v>
      </c>
      <c r="B40" s="44" t="s">
        <v>718</v>
      </c>
      <c r="C40" s="80">
        <v>872.15000000596046</v>
      </c>
    </row>
    <row r="41" spans="1:3" ht="30" x14ac:dyDescent="0.25">
      <c r="A41" s="2">
        <v>210729</v>
      </c>
      <c r="B41" s="44" t="s">
        <v>719</v>
      </c>
      <c r="C41" s="80">
        <v>40578.75</v>
      </c>
    </row>
    <row r="42" spans="1:3" x14ac:dyDescent="0.25">
      <c r="A42" s="2">
        <v>210730</v>
      </c>
      <c r="B42" s="44" t="s">
        <v>720</v>
      </c>
      <c r="C42" s="80">
        <v>178115044</v>
      </c>
    </row>
    <row r="43" spans="1:3" ht="30" x14ac:dyDescent="0.25">
      <c r="A43" s="2">
        <v>210731</v>
      </c>
      <c r="B43" s="44" t="s">
        <v>721</v>
      </c>
      <c r="C43" s="80">
        <v>4657314</v>
      </c>
    </row>
    <row r="44" spans="1:3" x14ac:dyDescent="0.25">
      <c r="A44" s="2">
        <v>210732</v>
      </c>
      <c r="B44" s="44" t="s">
        <v>722</v>
      </c>
      <c r="C44" s="80">
        <v>12301644</v>
      </c>
    </row>
    <row r="45" spans="1:3" ht="30" x14ac:dyDescent="0.25">
      <c r="A45" s="2">
        <v>210733</v>
      </c>
      <c r="B45" s="44" t="s">
        <v>723</v>
      </c>
      <c r="C45" s="80">
        <v>58349321</v>
      </c>
    </row>
    <row r="46" spans="1:3" ht="30" x14ac:dyDescent="0.25">
      <c r="A46" s="2">
        <v>210734</v>
      </c>
      <c r="B46" s="44" t="s">
        <v>724</v>
      </c>
      <c r="C46" s="80">
        <v>472429</v>
      </c>
    </row>
    <row r="47" spans="1:3" x14ac:dyDescent="0.25">
      <c r="A47" s="2">
        <v>210735</v>
      </c>
      <c r="B47" s="44" t="s">
        <v>725</v>
      </c>
      <c r="C47" s="80">
        <v>49687866</v>
      </c>
    </row>
    <row r="48" spans="1:3" ht="30" x14ac:dyDescent="0.25">
      <c r="A48" s="2">
        <v>210736</v>
      </c>
      <c r="B48" s="44" t="s">
        <v>726</v>
      </c>
      <c r="C48" s="80">
        <v>92800</v>
      </c>
    </row>
    <row r="49" spans="1:3" ht="30" x14ac:dyDescent="0.25">
      <c r="A49" s="2">
        <v>210737</v>
      </c>
      <c r="B49" s="44" t="s">
        <v>727</v>
      </c>
      <c r="C49" s="80">
        <v>38181859</v>
      </c>
    </row>
    <row r="50" spans="1:3" ht="30" x14ac:dyDescent="0.25">
      <c r="A50" s="2">
        <v>210738</v>
      </c>
      <c r="B50" s="44" t="s">
        <v>728</v>
      </c>
      <c r="C50" s="80">
        <v>217637</v>
      </c>
    </row>
    <row r="51" spans="1:3" ht="30" x14ac:dyDescent="0.25">
      <c r="A51" s="2">
        <v>210739</v>
      </c>
      <c r="B51" s="44" t="s">
        <v>730</v>
      </c>
      <c r="C51" s="80">
        <v>4642800</v>
      </c>
    </row>
    <row r="52" spans="1:3" ht="30" x14ac:dyDescent="0.25">
      <c r="A52" s="2">
        <v>210740</v>
      </c>
      <c r="B52" s="44" t="s">
        <v>731</v>
      </c>
      <c r="C52" s="80">
        <v>522370</v>
      </c>
    </row>
    <row r="53" spans="1:3" ht="30" x14ac:dyDescent="0.25">
      <c r="A53" s="2">
        <v>210741</v>
      </c>
      <c r="B53" s="44" t="s">
        <v>732</v>
      </c>
      <c r="C53" s="80">
        <v>75000000</v>
      </c>
    </row>
    <row r="54" spans="1:3" x14ac:dyDescent="0.25">
      <c r="A54" s="2">
        <v>210742</v>
      </c>
      <c r="B54" s="44" t="s">
        <v>504</v>
      </c>
      <c r="C54" s="80">
        <v>1133318875</v>
      </c>
    </row>
    <row r="55" spans="1:3" ht="30" x14ac:dyDescent="0.25">
      <c r="A55" s="2">
        <v>210743</v>
      </c>
      <c r="B55" s="44" t="s">
        <v>506</v>
      </c>
      <c r="C55" s="80">
        <v>14860459.529999999</v>
      </c>
    </row>
    <row r="56" spans="1:3" x14ac:dyDescent="0.25">
      <c r="A56" s="2">
        <v>210744</v>
      </c>
      <c r="B56" s="44" t="s">
        <v>508</v>
      </c>
      <c r="C56" s="80">
        <v>29007155</v>
      </c>
    </row>
    <row r="57" spans="1:3" x14ac:dyDescent="0.25">
      <c r="A57" s="2">
        <v>210745</v>
      </c>
      <c r="B57" s="44" t="s">
        <v>510</v>
      </c>
      <c r="C57" s="80">
        <v>1128486</v>
      </c>
    </row>
    <row r="58" spans="1:3" x14ac:dyDescent="0.25">
      <c r="A58" s="2">
        <v>210746</v>
      </c>
      <c r="B58" s="44" t="s">
        <v>512</v>
      </c>
      <c r="C58" s="80">
        <v>2680121</v>
      </c>
    </row>
    <row r="59" spans="1:3" x14ac:dyDescent="0.25">
      <c r="A59" s="2">
        <v>210747</v>
      </c>
      <c r="B59" s="44" t="s">
        <v>514</v>
      </c>
      <c r="C59" s="80">
        <v>108040401</v>
      </c>
    </row>
    <row r="60" spans="1:3" x14ac:dyDescent="0.25">
      <c r="A60" s="2">
        <v>210748</v>
      </c>
      <c r="B60" s="44" t="s">
        <v>516</v>
      </c>
      <c r="C60" s="80">
        <v>57233936</v>
      </c>
    </row>
    <row r="61" spans="1:3" ht="30" x14ac:dyDescent="0.25">
      <c r="A61" s="2">
        <v>210749</v>
      </c>
      <c r="B61" s="44" t="s">
        <v>518</v>
      </c>
      <c r="C61" s="80">
        <v>40398042</v>
      </c>
    </row>
    <row r="62" spans="1:3" ht="30" x14ac:dyDescent="0.25">
      <c r="A62" s="2">
        <v>210750</v>
      </c>
      <c r="B62" s="44" t="s">
        <v>520</v>
      </c>
      <c r="C62" s="80">
        <v>250000000</v>
      </c>
    </row>
    <row r="63" spans="1:3" ht="30" x14ac:dyDescent="0.25">
      <c r="A63" s="2">
        <v>210751</v>
      </c>
      <c r="B63" s="44" t="s">
        <v>524</v>
      </c>
      <c r="C63" s="80">
        <v>386492.54</v>
      </c>
    </row>
    <row r="64" spans="1:3" x14ac:dyDescent="0.25">
      <c r="A64" s="2">
        <v>210752</v>
      </c>
      <c r="B64" s="44" t="s">
        <v>526</v>
      </c>
      <c r="C64" s="80">
        <v>1136</v>
      </c>
    </row>
    <row r="65" spans="1:3" x14ac:dyDescent="0.25">
      <c r="A65" s="2">
        <v>210753</v>
      </c>
      <c r="B65" s="44" t="s">
        <v>528</v>
      </c>
      <c r="C65" s="80">
        <v>1255248</v>
      </c>
    </row>
    <row r="66" spans="1:3" x14ac:dyDescent="0.25">
      <c r="A66" s="2">
        <v>210754</v>
      </c>
      <c r="B66" s="44" t="s">
        <v>530</v>
      </c>
      <c r="C66" s="80">
        <v>59741232</v>
      </c>
    </row>
    <row r="67" spans="1:3" x14ac:dyDescent="0.25">
      <c r="A67" s="171" t="s">
        <v>821</v>
      </c>
      <c r="B67" s="171"/>
      <c r="C67" s="81">
        <f>SUM(C37:C66)</f>
        <v>2164131719.9700003</v>
      </c>
    </row>
    <row r="68" spans="1:3" x14ac:dyDescent="0.25">
      <c r="A68" s="22"/>
      <c r="B68" s="90"/>
      <c r="C68" s="23"/>
    </row>
    <row r="69" spans="1:3" x14ac:dyDescent="0.25">
      <c r="A69" s="22"/>
      <c r="B69" s="90"/>
      <c r="C69" s="23"/>
    </row>
    <row r="70" spans="1:3" x14ac:dyDescent="0.25">
      <c r="A70" s="19" t="s">
        <v>733</v>
      </c>
      <c r="B70" s="19" t="s">
        <v>1</v>
      </c>
      <c r="C70" s="45" t="s">
        <v>734</v>
      </c>
    </row>
    <row r="71" spans="1:3" ht="30" x14ac:dyDescent="0.25">
      <c r="A71" s="2">
        <v>210755</v>
      </c>
      <c r="B71" s="44" t="s">
        <v>534</v>
      </c>
      <c r="C71" s="80">
        <v>225260355</v>
      </c>
    </row>
    <row r="72" spans="1:3" ht="30" x14ac:dyDescent="0.25">
      <c r="A72" s="2">
        <v>210756</v>
      </c>
      <c r="B72" s="44" t="s">
        <v>538</v>
      </c>
      <c r="C72" s="80">
        <v>3004977</v>
      </c>
    </row>
    <row r="73" spans="1:3" x14ac:dyDescent="0.25">
      <c r="A73" s="172" t="s">
        <v>820</v>
      </c>
      <c r="B73" s="172"/>
      <c r="C73" s="85">
        <f>SUM(C71:C72)</f>
        <v>228265332</v>
      </c>
    </row>
    <row r="74" spans="1:3" x14ac:dyDescent="0.25">
      <c r="A74" s="73"/>
      <c r="B74" s="91"/>
      <c r="C74" s="74"/>
    </row>
    <row r="75" spans="1:3" x14ac:dyDescent="0.25">
      <c r="A75" s="97"/>
      <c r="B75" s="97"/>
      <c r="C75" s="98"/>
    </row>
    <row r="76" spans="1:3" x14ac:dyDescent="0.25">
      <c r="A76" s="19" t="s">
        <v>733</v>
      </c>
      <c r="B76" s="19" t="s">
        <v>1</v>
      </c>
      <c r="C76" s="45" t="s">
        <v>734</v>
      </c>
    </row>
    <row r="77" spans="1:3" x14ac:dyDescent="0.25">
      <c r="A77" s="2">
        <v>210757</v>
      </c>
      <c r="B77" s="44" t="s">
        <v>536</v>
      </c>
      <c r="C77" s="80">
        <v>2486459321</v>
      </c>
    </row>
    <row r="78" spans="1:3" x14ac:dyDescent="0.25">
      <c r="A78" s="172" t="s">
        <v>819</v>
      </c>
      <c r="B78" s="172"/>
      <c r="C78" s="85">
        <f>+C77</f>
        <v>2486459321</v>
      </c>
    </row>
    <row r="79" spans="1:3" x14ac:dyDescent="0.25">
      <c r="A79" s="73"/>
      <c r="B79" s="92"/>
      <c r="C79" s="43"/>
    </row>
    <row r="80" spans="1:3" x14ac:dyDescent="0.25">
      <c r="A80" s="73"/>
      <c r="B80" s="92"/>
      <c r="C80" s="43"/>
    </row>
    <row r="81" spans="1:3" x14ac:dyDescent="0.25">
      <c r="A81" s="19" t="s">
        <v>733</v>
      </c>
      <c r="B81" s="19" t="s">
        <v>1</v>
      </c>
      <c r="C81" s="45" t="s">
        <v>734</v>
      </c>
    </row>
    <row r="82" spans="1:3" x14ac:dyDescent="0.25">
      <c r="A82" s="2">
        <v>210772</v>
      </c>
      <c r="B82" s="71" t="s">
        <v>781</v>
      </c>
      <c r="C82" s="83">
        <v>900000000</v>
      </c>
    </row>
    <row r="83" spans="1:3" ht="30" x14ac:dyDescent="0.25">
      <c r="A83" s="2">
        <v>210773</v>
      </c>
      <c r="B83" s="71" t="s">
        <v>782</v>
      </c>
      <c r="C83" s="83">
        <v>979999999</v>
      </c>
    </row>
    <row r="84" spans="1:3" x14ac:dyDescent="0.25">
      <c r="A84" s="2">
        <v>210774</v>
      </c>
      <c r="B84" s="71" t="s">
        <v>783</v>
      </c>
      <c r="C84" s="83">
        <v>700000000</v>
      </c>
    </row>
    <row r="85" spans="1:3" x14ac:dyDescent="0.25">
      <c r="A85" s="2">
        <v>210775</v>
      </c>
      <c r="B85" s="71" t="s">
        <v>784</v>
      </c>
      <c r="C85" s="83">
        <v>707724631</v>
      </c>
    </row>
    <row r="86" spans="1:3" x14ac:dyDescent="0.25">
      <c r="A86" s="2">
        <v>210776</v>
      </c>
      <c r="B86" s="71" t="s">
        <v>785</v>
      </c>
      <c r="C86" s="83">
        <v>150000000</v>
      </c>
    </row>
    <row r="87" spans="1:3" x14ac:dyDescent="0.25">
      <c r="A87" s="2">
        <v>210777</v>
      </c>
      <c r="B87" s="71" t="s">
        <v>786</v>
      </c>
      <c r="C87" s="83">
        <v>500000000</v>
      </c>
    </row>
    <row r="88" spans="1:3" ht="30" x14ac:dyDescent="0.25">
      <c r="A88" s="2">
        <v>210778</v>
      </c>
      <c r="B88" s="71" t="s">
        <v>787</v>
      </c>
      <c r="C88" s="83">
        <v>150000000</v>
      </c>
    </row>
    <row r="89" spans="1:3" x14ac:dyDescent="0.25">
      <c r="A89" s="2">
        <v>210779</v>
      </c>
      <c r="B89" s="71" t="s">
        <v>788</v>
      </c>
      <c r="C89" s="83">
        <v>200000000</v>
      </c>
    </row>
    <row r="90" spans="1:3" x14ac:dyDescent="0.25">
      <c r="A90" s="2">
        <v>210780</v>
      </c>
      <c r="B90" s="71" t="s">
        <v>789</v>
      </c>
      <c r="C90" s="83">
        <v>710000000</v>
      </c>
    </row>
    <row r="91" spans="1:3" x14ac:dyDescent="0.25">
      <c r="A91" s="173" t="s">
        <v>818</v>
      </c>
      <c r="B91" s="173"/>
      <c r="C91" s="84">
        <v>4997724630</v>
      </c>
    </row>
    <row r="92" spans="1:3" x14ac:dyDescent="0.25">
      <c r="A92" s="50"/>
      <c r="B92" s="93"/>
      <c r="C92" s="48"/>
    </row>
    <row r="93" spans="1:3" x14ac:dyDescent="0.25">
      <c r="A93" s="50"/>
      <c r="B93" s="93"/>
      <c r="C93" s="48"/>
    </row>
    <row r="94" spans="1:3" x14ac:dyDescent="0.25">
      <c r="A94" s="50"/>
      <c r="B94" s="93"/>
      <c r="C94" s="48"/>
    </row>
    <row r="95" spans="1:3" x14ac:dyDescent="0.25">
      <c r="A95" s="19" t="s">
        <v>733</v>
      </c>
      <c r="B95" s="19" t="s">
        <v>1</v>
      </c>
      <c r="C95" s="45" t="s">
        <v>734</v>
      </c>
    </row>
    <row r="96" spans="1:3" ht="30" x14ac:dyDescent="0.25">
      <c r="A96" s="2">
        <v>210781</v>
      </c>
      <c r="B96" s="44" t="s">
        <v>542</v>
      </c>
      <c r="C96" s="80">
        <v>6262866</v>
      </c>
    </row>
    <row r="97" spans="1:3" x14ac:dyDescent="0.25">
      <c r="A97" s="172" t="s">
        <v>817</v>
      </c>
      <c r="B97" s="172"/>
      <c r="C97" s="81">
        <f>+C96</f>
        <v>6262866</v>
      </c>
    </row>
    <row r="98" spans="1:3" x14ac:dyDescent="0.25">
      <c r="A98" s="73"/>
      <c r="B98" s="91"/>
      <c r="C98" s="82"/>
    </row>
    <row r="99" spans="1:3" x14ac:dyDescent="0.25">
      <c r="A99" s="73"/>
      <c r="B99" s="91"/>
      <c r="C99" s="23"/>
    </row>
    <row r="101" spans="1:3" x14ac:dyDescent="0.25">
      <c r="A101" s="19" t="s">
        <v>733</v>
      </c>
      <c r="B101" s="19" t="s">
        <v>1</v>
      </c>
      <c r="C101" s="45" t="s">
        <v>734</v>
      </c>
    </row>
    <row r="102" spans="1:3" x14ac:dyDescent="0.25">
      <c r="A102" s="2">
        <v>210801</v>
      </c>
      <c r="B102" s="44" t="s">
        <v>281</v>
      </c>
      <c r="C102" s="80">
        <v>36607509</v>
      </c>
    </row>
    <row r="103" spans="1:3" x14ac:dyDescent="0.25">
      <c r="A103" s="2">
        <v>210802</v>
      </c>
      <c r="B103" s="44" t="s">
        <v>251</v>
      </c>
      <c r="C103" s="80">
        <v>511528</v>
      </c>
    </row>
    <row r="104" spans="1:3" x14ac:dyDescent="0.25">
      <c r="A104" s="2">
        <v>210803</v>
      </c>
      <c r="B104" s="44" t="s">
        <v>284</v>
      </c>
      <c r="C104" s="80">
        <v>173001</v>
      </c>
    </row>
    <row r="105" spans="1:3" x14ac:dyDescent="0.25">
      <c r="A105" s="2">
        <v>210804</v>
      </c>
      <c r="B105" s="44" t="s">
        <v>286</v>
      </c>
      <c r="C105" s="80">
        <v>471446</v>
      </c>
    </row>
    <row r="106" spans="1:3" x14ac:dyDescent="0.25">
      <c r="A106" s="2">
        <v>210805</v>
      </c>
      <c r="B106" s="44" t="s">
        <v>288</v>
      </c>
      <c r="C106" s="80">
        <v>87188500</v>
      </c>
    </row>
    <row r="107" spans="1:3" x14ac:dyDescent="0.25">
      <c r="A107" s="2">
        <v>210806</v>
      </c>
      <c r="B107" s="44" t="s">
        <v>290</v>
      </c>
      <c r="C107" s="80">
        <v>76377039</v>
      </c>
    </row>
    <row r="108" spans="1:3" x14ac:dyDescent="0.25">
      <c r="A108" s="2">
        <v>210807</v>
      </c>
      <c r="B108" s="44" t="s">
        <v>292</v>
      </c>
      <c r="C108" s="80">
        <v>48004211</v>
      </c>
    </row>
    <row r="109" spans="1:3" x14ac:dyDescent="0.25">
      <c r="A109" s="2">
        <v>210808</v>
      </c>
      <c r="B109" s="44" t="s">
        <v>294</v>
      </c>
      <c r="C109" s="80">
        <v>1597872</v>
      </c>
    </row>
    <row r="110" spans="1:3" x14ac:dyDescent="0.25">
      <c r="A110" s="2">
        <v>210809</v>
      </c>
      <c r="B110" s="44" t="s">
        <v>296</v>
      </c>
      <c r="C110" s="80">
        <v>100000000</v>
      </c>
    </row>
    <row r="111" spans="1:3" x14ac:dyDescent="0.25">
      <c r="A111" s="2">
        <v>210810</v>
      </c>
      <c r="B111" s="44" t="s">
        <v>298</v>
      </c>
      <c r="C111" s="80">
        <v>8471</v>
      </c>
    </row>
    <row r="112" spans="1:3" x14ac:dyDescent="0.25">
      <c r="A112" s="2">
        <v>210811</v>
      </c>
      <c r="B112" s="44" t="s">
        <v>300</v>
      </c>
      <c r="C112" s="80">
        <v>112500</v>
      </c>
    </row>
    <row r="113" spans="1:3" x14ac:dyDescent="0.25">
      <c r="A113" s="2">
        <v>210812</v>
      </c>
      <c r="B113" s="44" t="s">
        <v>302</v>
      </c>
      <c r="C113" s="80">
        <v>4627288</v>
      </c>
    </row>
    <row r="114" spans="1:3" x14ac:dyDescent="0.25">
      <c r="A114" s="2">
        <v>210813</v>
      </c>
      <c r="B114" s="44" t="s">
        <v>304</v>
      </c>
      <c r="C114" s="80">
        <v>14976702</v>
      </c>
    </row>
    <row r="115" spans="1:3" x14ac:dyDescent="0.25">
      <c r="A115" s="2">
        <v>210814</v>
      </c>
      <c r="B115" s="44" t="s">
        <v>308</v>
      </c>
      <c r="C115" s="80">
        <v>180000000</v>
      </c>
    </row>
    <row r="116" spans="1:3" x14ac:dyDescent="0.25">
      <c r="A116" s="171" t="s">
        <v>816</v>
      </c>
      <c r="B116" s="171"/>
      <c r="C116" s="81">
        <f>SUM(C103:C115)</f>
        <v>514048558</v>
      </c>
    </row>
    <row r="117" spans="1:3" x14ac:dyDescent="0.25">
      <c r="A117" s="22"/>
      <c r="B117" s="90"/>
      <c r="C117" s="23"/>
    </row>
    <row r="118" spans="1:3" x14ac:dyDescent="0.25">
      <c r="A118" s="22"/>
      <c r="B118" s="90"/>
      <c r="C118" s="23"/>
    </row>
    <row r="119" spans="1:3" x14ac:dyDescent="0.25">
      <c r="A119" s="19" t="s">
        <v>733</v>
      </c>
      <c r="B119" s="19" t="s">
        <v>1</v>
      </c>
      <c r="C119" s="45" t="s">
        <v>734</v>
      </c>
    </row>
    <row r="120" spans="1:3" x14ac:dyDescent="0.25">
      <c r="A120" s="2">
        <v>210815</v>
      </c>
      <c r="B120" s="44" t="s">
        <v>310</v>
      </c>
      <c r="C120" s="80">
        <v>162869312</v>
      </c>
    </row>
    <row r="121" spans="1:3" x14ac:dyDescent="0.25">
      <c r="A121" s="2">
        <v>210901</v>
      </c>
      <c r="B121" s="44" t="s">
        <v>312</v>
      </c>
      <c r="C121" s="80">
        <v>1457962644.53</v>
      </c>
    </row>
    <row r="122" spans="1:3" x14ac:dyDescent="0.25">
      <c r="A122" s="171" t="s">
        <v>813</v>
      </c>
      <c r="B122" s="171"/>
      <c r="C122" s="81">
        <f>SUM(C120:C121)</f>
        <v>1620831956.53</v>
      </c>
    </row>
    <row r="123" spans="1:3" x14ac:dyDescent="0.25">
      <c r="A123" s="69"/>
      <c r="B123" s="94"/>
      <c r="C123" s="42"/>
    </row>
    <row r="124" spans="1:3" x14ac:dyDescent="0.25">
      <c r="A124" s="69"/>
      <c r="B124" s="94"/>
      <c r="C124" s="42"/>
    </row>
    <row r="125" spans="1:3" x14ac:dyDescent="0.25">
      <c r="A125" s="69"/>
      <c r="B125" s="94"/>
      <c r="C125" s="42"/>
    </row>
    <row r="126" spans="1:3" x14ac:dyDescent="0.25">
      <c r="A126" s="19" t="s">
        <v>733</v>
      </c>
      <c r="B126" s="19" t="s">
        <v>1</v>
      </c>
      <c r="C126" s="45" t="s">
        <v>734</v>
      </c>
    </row>
    <row r="127" spans="1:3" x14ac:dyDescent="0.25">
      <c r="A127" s="2">
        <v>210902</v>
      </c>
      <c r="B127" s="44" t="s">
        <v>277</v>
      </c>
      <c r="C127" s="80">
        <v>4662746880.4799995</v>
      </c>
    </row>
    <row r="128" spans="1:3" x14ac:dyDescent="0.25">
      <c r="A128" s="171" t="s">
        <v>815</v>
      </c>
      <c r="B128" s="171"/>
      <c r="C128" s="81">
        <f>+C127</f>
        <v>4662746880.4799995</v>
      </c>
    </row>
    <row r="129" spans="1:3" x14ac:dyDescent="0.25">
      <c r="A129" s="69"/>
      <c r="B129" s="94"/>
      <c r="C129" s="42"/>
    </row>
    <row r="139" spans="1:3" x14ac:dyDescent="0.25">
      <c r="A139" s="2"/>
      <c r="B139" s="44"/>
      <c r="C139" s="11"/>
    </row>
    <row r="140" spans="1:3" x14ac:dyDescent="0.25">
      <c r="A140" s="2"/>
      <c r="B140" s="44"/>
      <c r="C140" s="11"/>
    </row>
    <row r="141" spans="1:3" x14ac:dyDescent="0.25">
      <c r="A141" s="2"/>
      <c r="B141" s="44"/>
      <c r="C141" s="11"/>
    </row>
    <row r="142" spans="1:3" x14ac:dyDescent="0.25">
      <c r="A142" s="2"/>
      <c r="B142" s="44"/>
      <c r="C142" s="11"/>
    </row>
    <row r="143" spans="1:3" x14ac:dyDescent="0.25">
      <c r="A143" s="19" t="s">
        <v>733</v>
      </c>
      <c r="B143" s="19" t="s">
        <v>1</v>
      </c>
      <c r="C143" s="45" t="s">
        <v>734</v>
      </c>
    </row>
    <row r="144" spans="1:3" x14ac:dyDescent="0.25">
      <c r="A144" s="2">
        <v>211001</v>
      </c>
      <c r="B144" s="44" t="s">
        <v>419</v>
      </c>
      <c r="C144" s="80">
        <v>15345333</v>
      </c>
    </row>
    <row r="145" spans="1:3" x14ac:dyDescent="0.25">
      <c r="A145" s="171" t="s">
        <v>814</v>
      </c>
      <c r="B145" s="171"/>
      <c r="C145" s="81">
        <f>+C144</f>
        <v>15345333</v>
      </c>
    </row>
    <row r="147" spans="1:3" x14ac:dyDescent="0.25">
      <c r="A147" s="19" t="s">
        <v>733</v>
      </c>
      <c r="B147" s="19" t="s">
        <v>1</v>
      </c>
      <c r="C147" s="45" t="s">
        <v>734</v>
      </c>
    </row>
    <row r="148" spans="1:3" x14ac:dyDescent="0.25">
      <c r="A148" s="2">
        <v>211002</v>
      </c>
      <c r="B148" s="44" t="s">
        <v>415</v>
      </c>
      <c r="C148" s="80">
        <v>2324463</v>
      </c>
    </row>
    <row r="149" spans="1:3" ht="29.25" customHeight="1" x14ac:dyDescent="0.25">
      <c r="A149" s="174" t="s">
        <v>823</v>
      </c>
      <c r="B149" s="174"/>
      <c r="C149" s="100">
        <f>+C148</f>
        <v>2324463</v>
      </c>
    </row>
    <row r="153" spans="1:3" x14ac:dyDescent="0.25">
      <c r="C153" s="72">
        <f>+C149+C145+C128+C122+C116+C97+C91+C78+C73+C67+C33</f>
        <v>17836702191.450001</v>
      </c>
    </row>
    <row r="156" spans="1:3" x14ac:dyDescent="0.25">
      <c r="A156" s="173" t="s">
        <v>790</v>
      </c>
      <c r="B156" s="173"/>
      <c r="C156" s="46" t="s">
        <v>734</v>
      </c>
    </row>
    <row r="157" spans="1:3" x14ac:dyDescent="0.25">
      <c r="A157" s="30" t="str">
        <f>+A33</f>
        <v>TOTAL RECURSOS CREE-VIGENCIA 2016 - ACS-022-2017</v>
      </c>
      <c r="B157" s="95"/>
      <c r="C157" s="78">
        <f>+C33</f>
        <v>1138561131.47</v>
      </c>
    </row>
    <row r="158" spans="1:3" x14ac:dyDescent="0.25">
      <c r="A158" s="30" t="str">
        <f>+A67</f>
        <v>TOTAL RECURSOS CREE - VIGENCIAS ANTERIORES 2013-2014-2015 ACS-011-2017</v>
      </c>
      <c r="B158" s="95"/>
      <c r="C158" s="78">
        <f>+C67</f>
        <v>2164131719.9700003</v>
      </c>
    </row>
    <row r="159" spans="1:3" x14ac:dyDescent="0.25">
      <c r="A159" s="30" t="str">
        <f>+A73</f>
        <v>TOTAL  REASIGNACIÓN  RECURSOS CREE VIGENCIA 2016 - ACS-014-016-2017</v>
      </c>
      <c r="B159" s="95"/>
      <c r="C159" s="78">
        <f>+C73</f>
        <v>228265332</v>
      </c>
    </row>
    <row r="160" spans="1:3" x14ac:dyDescent="0.25">
      <c r="A160" s="30" t="str">
        <f>+A78</f>
        <v>TOTAL  REDISTRIBUCIÓN RECURSOS CREE VIGENCIA 2014 - ACS-012-2017</v>
      </c>
      <c r="B160" s="95"/>
      <c r="C160" s="78">
        <f>+C78</f>
        <v>2486459321</v>
      </c>
    </row>
    <row r="161" spans="1:3" x14ac:dyDescent="0.25">
      <c r="A161" s="30" t="str">
        <f>+A91</f>
        <v>TOTAL RECURSOS CREE 2017  -ACS-045-2017</v>
      </c>
      <c r="B161" s="95"/>
      <c r="C161" s="78">
        <f>+C91</f>
        <v>4997724630</v>
      </c>
    </row>
    <row r="162" spans="1:3" x14ac:dyDescent="0.25">
      <c r="A162" s="30" t="str">
        <f>+A97</f>
        <v>TOTAL RENDIMIENTOS FINANCIEROS  RECURSOS CREE  - ACS-038-2017</v>
      </c>
      <c r="B162" s="95"/>
      <c r="C162" s="78">
        <f>+C97</f>
        <v>6262866</v>
      </c>
    </row>
    <row r="163" spans="1:3" x14ac:dyDescent="0.25">
      <c r="A163" s="30" t="str">
        <f>+A116</f>
        <v>TOTAL RECURSOS ESTAMPILLA PRO UNIVERSIDAD NACIONAL 2017 - ACS-024-2017</v>
      </c>
      <c r="B163" s="95"/>
      <c r="C163" s="78">
        <f>+C116</f>
        <v>514048558</v>
      </c>
    </row>
    <row r="164" spans="1:3" x14ac:dyDescent="0.25">
      <c r="A164" s="30" t="str">
        <f>+A122</f>
        <v>TOTAL RECURSOS ESTAMPILLA PRO UNIVERSIDAD NACIONAL  - PRO UT - ACS-041-17</v>
      </c>
      <c r="B164" s="95"/>
      <c r="C164" s="78">
        <f>+C122</f>
        <v>1620831956.53</v>
      </c>
    </row>
    <row r="165" spans="1:3" x14ac:dyDescent="0.25">
      <c r="A165" s="30" t="str">
        <f>+A128</f>
        <v>TOTAL  RECURSOS ESTAMPILLA PRO UT - ACS-011-2017</v>
      </c>
      <c r="B165" s="95"/>
      <c r="C165" s="78">
        <f>+C128</f>
        <v>4662746880.4799995</v>
      </c>
    </row>
    <row r="166" spans="1:3" x14ac:dyDescent="0.25">
      <c r="A166" s="30" t="str">
        <f>+A145</f>
        <v>TOTAL  RECURSOS DE BALANCE  CONVENIO 1040-2013-PROYECCION SOCIAL</v>
      </c>
      <c r="B166" s="95"/>
      <c r="C166" s="78">
        <f>+C145</f>
        <v>15345333</v>
      </c>
    </row>
    <row r="167" spans="1:3" ht="30" customHeight="1" x14ac:dyDescent="0.25">
      <c r="A167" s="176" t="str">
        <f>+A149</f>
        <v>TOTAL  RECURSOS DE BALANCE  CONVENIO 0935-2017-PROGRAMA DE PRÁCTICAS PROFESIONALES DEL SECTOR RURAL</v>
      </c>
      <c r="B167" s="177"/>
      <c r="C167" s="78">
        <f>+C149</f>
        <v>2324463</v>
      </c>
    </row>
    <row r="168" spans="1:3" x14ac:dyDescent="0.25">
      <c r="A168" s="171" t="s">
        <v>791</v>
      </c>
      <c r="B168" s="171"/>
      <c r="C168" s="79">
        <f>SUM(C157:C167)</f>
        <v>17836702191.450001</v>
      </c>
    </row>
    <row r="170" spans="1:3" x14ac:dyDescent="0.25">
      <c r="C170" s="77">
        <v>17836702191.450001</v>
      </c>
    </row>
    <row r="174" spans="1:3" x14ac:dyDescent="0.25">
      <c r="A174"/>
    </row>
    <row r="182" spans="1:3" x14ac:dyDescent="0.25">
      <c r="A182" s="19" t="s">
        <v>733</v>
      </c>
      <c r="B182" s="19" t="s">
        <v>1</v>
      </c>
      <c r="C182" s="45" t="s">
        <v>734</v>
      </c>
    </row>
    <row r="183" spans="1:3" x14ac:dyDescent="0.25">
      <c r="A183" s="99">
        <v>210815</v>
      </c>
      <c r="B183" s="44" t="s">
        <v>310</v>
      </c>
      <c r="C183" s="80">
        <v>162869312</v>
      </c>
    </row>
    <row r="184" spans="1:3" x14ac:dyDescent="0.25">
      <c r="A184" s="99">
        <v>210901</v>
      </c>
      <c r="B184" s="44" t="s">
        <v>312</v>
      </c>
      <c r="C184" s="80">
        <v>1457962644.53</v>
      </c>
    </row>
    <row r="185" spans="1:3" x14ac:dyDescent="0.25">
      <c r="A185" s="171" t="s">
        <v>813</v>
      </c>
      <c r="B185" s="171"/>
      <c r="C185" s="81">
        <f>SUM(C183:C184)</f>
        <v>1620831956.53</v>
      </c>
    </row>
    <row r="194" spans="1:3" x14ac:dyDescent="0.25">
      <c r="A194" s="175" t="s">
        <v>824</v>
      </c>
      <c r="B194" s="175"/>
      <c r="C194" s="45" t="s">
        <v>734</v>
      </c>
    </row>
    <row r="195" spans="1:3" x14ac:dyDescent="0.25">
      <c r="A195" s="104" t="s">
        <v>825</v>
      </c>
      <c r="B195" s="21"/>
      <c r="C195" s="105">
        <v>17733884622.610001</v>
      </c>
    </row>
    <row r="196" spans="1:3" x14ac:dyDescent="0.25">
      <c r="A196" s="104" t="s">
        <v>826</v>
      </c>
      <c r="B196" s="21"/>
      <c r="C196" s="105">
        <v>-2720934147.25</v>
      </c>
    </row>
    <row r="197" spans="1:3" x14ac:dyDescent="0.25">
      <c r="A197" s="104" t="s">
        <v>827</v>
      </c>
      <c r="B197" s="21"/>
      <c r="C197" s="105">
        <v>-731049246</v>
      </c>
    </row>
    <row r="198" spans="1:3" x14ac:dyDescent="0.25">
      <c r="A198" s="104" t="s">
        <v>828</v>
      </c>
      <c r="B198" s="21"/>
      <c r="C198" s="105">
        <v>7980000</v>
      </c>
    </row>
    <row r="199" spans="1:3" x14ac:dyDescent="0.25">
      <c r="A199" s="104" t="s">
        <v>829</v>
      </c>
      <c r="B199" s="21"/>
      <c r="C199" s="105">
        <v>-365073875</v>
      </c>
    </row>
    <row r="200" spans="1:3" x14ac:dyDescent="0.25">
      <c r="A200" s="174" t="s">
        <v>713</v>
      </c>
      <c r="B200" s="174"/>
      <c r="C200" s="100">
        <f>SUM(C195:C199)</f>
        <v>13924807354.360001</v>
      </c>
    </row>
    <row r="201" spans="1:3" x14ac:dyDescent="0.25">
      <c r="A201" s="20" t="s">
        <v>830</v>
      </c>
      <c r="B201" s="21"/>
      <c r="C201" s="105">
        <v>-1950000000</v>
      </c>
    </row>
    <row r="202" spans="1:3" x14ac:dyDescent="0.25">
      <c r="A202" s="106" t="s">
        <v>831</v>
      </c>
      <c r="B202" s="89"/>
      <c r="C202" s="107">
        <f>+C200+C201</f>
        <v>11974807354.360001</v>
      </c>
    </row>
  </sheetData>
  <autoFilter ref="A1:L71"/>
  <mergeCells count="17">
    <mergeCell ref="A185:B185"/>
    <mergeCell ref="A200:B200"/>
    <mergeCell ref="A194:B194"/>
    <mergeCell ref="A97:B97"/>
    <mergeCell ref="A122:B122"/>
    <mergeCell ref="A145:B145"/>
    <mergeCell ref="A149:B149"/>
    <mergeCell ref="A156:B156"/>
    <mergeCell ref="A168:B168"/>
    <mergeCell ref="A167:B167"/>
    <mergeCell ref="A33:B33"/>
    <mergeCell ref="A67:B67"/>
    <mergeCell ref="A73:B73"/>
    <mergeCell ref="A78:B78"/>
    <mergeCell ref="A128:B128"/>
    <mergeCell ref="A116:B116"/>
    <mergeCell ref="A91:B91"/>
  </mergeCells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Excel.Sheet.12" shapeId="1025" r:id="rId4">
          <objectPr defaultSize="0" autoPict="0" r:id="rId5">
            <anchor moveWithCells="1" sizeWithCells="1">
              <from>
                <xdr:col>0</xdr:col>
                <xdr:colOff>0</xdr:colOff>
                <xdr:row>173</xdr:row>
                <xdr:rowOff>0</xdr:rowOff>
              </from>
              <to>
                <xdr:col>2</xdr:col>
                <xdr:colOff>590550</xdr:colOff>
                <xdr:row>178</xdr:row>
                <xdr:rowOff>57150</xdr:rowOff>
              </to>
            </anchor>
          </objectPr>
        </oleObject>
      </mc:Choice>
      <mc:Fallback>
        <oleObject progId="Excel.Sheet.12" shapeId="1025" r:id="rId4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7"/>
  <sheetViews>
    <sheetView workbookViewId="0">
      <selection activeCell="C81" sqref="A81:C81"/>
    </sheetView>
  </sheetViews>
  <sheetFormatPr baseColWidth="10" defaultRowHeight="15" x14ac:dyDescent="0.25"/>
  <cols>
    <col min="1" max="1" width="13.42578125" customWidth="1"/>
    <col min="2" max="2" width="96.140625" bestFit="1" customWidth="1"/>
    <col min="3" max="3" width="14.140625" bestFit="1" customWidth="1"/>
  </cols>
  <sheetData>
    <row r="1" spans="1:3" x14ac:dyDescent="0.25">
      <c r="A1" s="7" t="s">
        <v>733</v>
      </c>
      <c r="B1" s="7" t="s">
        <v>1</v>
      </c>
      <c r="C1" s="8" t="s">
        <v>734</v>
      </c>
    </row>
    <row r="2" spans="1:3" x14ac:dyDescent="0.25">
      <c r="A2" s="2" t="s">
        <v>276</v>
      </c>
      <c r="B2" s="1" t="s">
        <v>277</v>
      </c>
      <c r="C2" s="12">
        <v>4662746880.4799995</v>
      </c>
    </row>
    <row r="3" spans="1:3" x14ac:dyDescent="0.25">
      <c r="A3" s="2" t="s">
        <v>280</v>
      </c>
      <c r="B3" s="1" t="s">
        <v>281</v>
      </c>
      <c r="C3" s="12">
        <v>412205</v>
      </c>
    </row>
    <row r="4" spans="1:3" x14ac:dyDescent="0.25">
      <c r="A4" s="2" t="s">
        <v>282</v>
      </c>
      <c r="B4" s="1" t="s">
        <v>251</v>
      </c>
      <c r="C4" s="12">
        <v>511528</v>
      </c>
    </row>
    <row r="5" spans="1:3" x14ac:dyDescent="0.25">
      <c r="A5" s="2" t="s">
        <v>283</v>
      </c>
      <c r="B5" s="1" t="s">
        <v>284</v>
      </c>
      <c r="C5" s="12">
        <v>173001</v>
      </c>
    </row>
    <row r="6" spans="1:3" x14ac:dyDescent="0.25">
      <c r="A6" s="2" t="s">
        <v>285</v>
      </c>
      <c r="B6" s="1" t="s">
        <v>286</v>
      </c>
      <c r="C6" s="12">
        <v>471446</v>
      </c>
    </row>
    <row r="7" spans="1:3" x14ac:dyDescent="0.25">
      <c r="A7" s="2" t="s">
        <v>287</v>
      </c>
      <c r="B7" s="1" t="s">
        <v>288</v>
      </c>
      <c r="C7" s="12">
        <v>87188500</v>
      </c>
    </row>
    <row r="8" spans="1:3" x14ac:dyDescent="0.25">
      <c r="A8" s="2" t="s">
        <v>289</v>
      </c>
      <c r="B8" s="1" t="s">
        <v>290</v>
      </c>
      <c r="C8" s="12">
        <v>76377039</v>
      </c>
    </row>
    <row r="9" spans="1:3" x14ac:dyDescent="0.25">
      <c r="A9" s="2" t="s">
        <v>291</v>
      </c>
      <c r="B9" s="1" t="s">
        <v>292</v>
      </c>
      <c r="C9" s="12">
        <v>48004211</v>
      </c>
    </row>
    <row r="10" spans="1:3" x14ac:dyDescent="0.25">
      <c r="A10" s="2" t="s">
        <v>293</v>
      </c>
      <c r="B10" s="1" t="s">
        <v>294</v>
      </c>
      <c r="C10" s="12">
        <v>1597872</v>
      </c>
    </row>
    <row r="11" spans="1:3" x14ac:dyDescent="0.25">
      <c r="A11" s="2" t="s">
        <v>295</v>
      </c>
      <c r="B11" s="1" t="s">
        <v>296</v>
      </c>
      <c r="C11" s="12">
        <v>100000000</v>
      </c>
    </row>
    <row r="12" spans="1:3" x14ac:dyDescent="0.25">
      <c r="A12" s="2" t="s">
        <v>297</v>
      </c>
      <c r="B12" s="1" t="s">
        <v>298</v>
      </c>
      <c r="C12" s="12">
        <v>8471</v>
      </c>
    </row>
    <row r="13" spans="1:3" x14ac:dyDescent="0.25">
      <c r="A13" s="2" t="s">
        <v>299</v>
      </c>
      <c r="B13" s="1" t="s">
        <v>300</v>
      </c>
      <c r="C13" s="12">
        <v>112500</v>
      </c>
    </row>
    <row r="14" spans="1:3" x14ac:dyDescent="0.25">
      <c r="A14" s="2" t="s">
        <v>301</v>
      </c>
      <c r="B14" s="1" t="s">
        <v>302</v>
      </c>
      <c r="C14" s="12">
        <v>4627288</v>
      </c>
    </row>
    <row r="15" spans="1:3" x14ac:dyDescent="0.25">
      <c r="A15" s="2" t="s">
        <v>307</v>
      </c>
      <c r="B15" s="1" t="s">
        <v>308</v>
      </c>
      <c r="C15" s="12">
        <v>180000000</v>
      </c>
    </row>
    <row r="16" spans="1:3" x14ac:dyDescent="0.25">
      <c r="A16" s="2" t="s">
        <v>309</v>
      </c>
      <c r="B16" s="1" t="s">
        <v>310</v>
      </c>
      <c r="C16" s="12">
        <v>162869312</v>
      </c>
    </row>
    <row r="17" spans="1:3" x14ac:dyDescent="0.25">
      <c r="A17" s="2" t="s">
        <v>311</v>
      </c>
      <c r="B17" s="1" t="s">
        <v>312</v>
      </c>
      <c r="C17" s="12">
        <v>1457962644.53</v>
      </c>
    </row>
    <row r="18" spans="1:3" x14ac:dyDescent="0.25">
      <c r="A18" s="2" t="s">
        <v>335</v>
      </c>
      <c r="B18" s="1" t="s">
        <v>336</v>
      </c>
      <c r="C18" s="12">
        <v>44274408</v>
      </c>
    </row>
    <row r="19" spans="1:3" x14ac:dyDescent="0.25">
      <c r="A19" s="2" t="s">
        <v>396</v>
      </c>
      <c r="B19" s="1" t="s">
        <v>397</v>
      </c>
      <c r="C19" s="12">
        <v>46486704</v>
      </c>
    </row>
    <row r="20" spans="1:3" x14ac:dyDescent="0.25">
      <c r="A20" s="2" t="s">
        <v>399</v>
      </c>
      <c r="B20" s="1" t="s">
        <v>400</v>
      </c>
      <c r="C20" s="12">
        <v>2266800</v>
      </c>
    </row>
    <row r="21" spans="1:3" x14ac:dyDescent="0.25">
      <c r="A21" s="2" t="s">
        <v>401</v>
      </c>
      <c r="B21" s="1" t="s">
        <v>402</v>
      </c>
      <c r="C21" s="12">
        <v>56230606</v>
      </c>
    </row>
    <row r="22" spans="1:3" x14ac:dyDescent="0.25">
      <c r="A22" s="2" t="s">
        <v>406</v>
      </c>
      <c r="B22" s="1" t="s">
        <v>407</v>
      </c>
      <c r="C22" s="12">
        <v>3154675</v>
      </c>
    </row>
    <row r="23" spans="1:3" x14ac:dyDescent="0.25">
      <c r="A23" s="2" t="s">
        <v>408</v>
      </c>
      <c r="B23" s="1" t="s">
        <v>409</v>
      </c>
      <c r="C23" s="12">
        <v>8000000</v>
      </c>
    </row>
    <row r="24" spans="1:3" x14ac:dyDescent="0.25">
      <c r="A24" s="2" t="s">
        <v>412</v>
      </c>
      <c r="B24" s="1" t="s">
        <v>413</v>
      </c>
      <c r="C24" s="12">
        <v>42103669</v>
      </c>
    </row>
    <row r="25" spans="1:3" x14ac:dyDescent="0.25">
      <c r="A25" s="2" t="s">
        <v>414</v>
      </c>
      <c r="B25" s="1" t="s">
        <v>415</v>
      </c>
      <c r="C25" s="12">
        <v>11590697</v>
      </c>
    </row>
    <row r="26" spans="1:3" x14ac:dyDescent="0.25">
      <c r="A26" s="2" t="s">
        <v>418</v>
      </c>
      <c r="B26" s="1" t="s">
        <v>419</v>
      </c>
      <c r="C26" s="12">
        <v>15345333</v>
      </c>
    </row>
    <row r="27" spans="1:3" x14ac:dyDescent="0.25">
      <c r="A27" s="14">
        <v>210712</v>
      </c>
      <c r="B27" s="1" t="s">
        <v>425</v>
      </c>
      <c r="C27" s="12">
        <v>7613608</v>
      </c>
    </row>
    <row r="28" spans="1:3" x14ac:dyDescent="0.25">
      <c r="A28" s="14">
        <v>210713</v>
      </c>
      <c r="B28" s="1" t="s">
        <v>427</v>
      </c>
      <c r="C28" s="12">
        <v>2189800</v>
      </c>
    </row>
    <row r="29" spans="1:3" x14ac:dyDescent="0.25">
      <c r="A29" s="14">
        <v>210714</v>
      </c>
      <c r="B29" s="1" t="s">
        <v>429</v>
      </c>
      <c r="C29" s="12">
        <v>22617868</v>
      </c>
    </row>
    <row r="30" spans="1:3" x14ac:dyDescent="0.25">
      <c r="A30" s="14">
        <v>210715</v>
      </c>
      <c r="B30" s="1" t="s">
        <v>431</v>
      </c>
      <c r="C30" s="12">
        <v>3111696</v>
      </c>
    </row>
    <row r="31" spans="1:3" x14ac:dyDescent="0.25">
      <c r="A31" s="14">
        <v>210716</v>
      </c>
      <c r="B31" s="1" t="s">
        <v>433</v>
      </c>
      <c r="C31" s="12">
        <v>2341642</v>
      </c>
    </row>
    <row r="32" spans="1:3" x14ac:dyDescent="0.25">
      <c r="A32" s="14">
        <v>210717</v>
      </c>
      <c r="B32" s="1" t="s">
        <v>435</v>
      </c>
      <c r="C32" s="12">
        <v>36776266</v>
      </c>
    </row>
    <row r="33" spans="1:3" x14ac:dyDescent="0.25">
      <c r="A33" s="14">
        <v>210718</v>
      </c>
      <c r="B33" s="1" t="s">
        <v>441</v>
      </c>
      <c r="C33" s="12">
        <v>510506</v>
      </c>
    </row>
    <row r="34" spans="1:3" x14ac:dyDescent="0.25">
      <c r="A34" s="14">
        <v>210719</v>
      </c>
      <c r="B34" s="1" t="s">
        <v>445</v>
      </c>
      <c r="C34" s="12">
        <v>2517</v>
      </c>
    </row>
    <row r="35" spans="1:3" x14ac:dyDescent="0.25">
      <c r="A35" s="14">
        <v>210720</v>
      </c>
      <c r="B35" s="1" t="s">
        <v>447</v>
      </c>
      <c r="C35" s="12">
        <v>3460071</v>
      </c>
    </row>
    <row r="36" spans="1:3" x14ac:dyDescent="0.25">
      <c r="A36" s="14">
        <v>210721</v>
      </c>
      <c r="B36" s="1" t="s">
        <v>449</v>
      </c>
      <c r="C36" s="12">
        <v>2551969</v>
      </c>
    </row>
    <row r="37" spans="1:3" x14ac:dyDescent="0.25">
      <c r="A37" s="14">
        <v>210722</v>
      </c>
      <c r="B37" s="1" t="s">
        <v>453</v>
      </c>
      <c r="C37" s="12">
        <v>143846885</v>
      </c>
    </row>
    <row r="38" spans="1:3" x14ac:dyDescent="0.25">
      <c r="A38" s="14">
        <v>210723</v>
      </c>
      <c r="B38" s="1" t="s">
        <v>455</v>
      </c>
      <c r="C38" s="12">
        <v>304077260.87</v>
      </c>
    </row>
    <row r="39" spans="1:3" x14ac:dyDescent="0.25">
      <c r="A39" s="14">
        <v>210724</v>
      </c>
      <c r="B39" s="1" t="s">
        <v>457</v>
      </c>
      <c r="C39" s="12">
        <v>107198314</v>
      </c>
    </row>
    <row r="40" spans="1:3" x14ac:dyDescent="0.25">
      <c r="A40" s="14">
        <v>210725</v>
      </c>
      <c r="B40" s="1" t="s">
        <v>459</v>
      </c>
      <c r="C40" s="12">
        <v>51807678.599999994</v>
      </c>
    </row>
    <row r="41" spans="1:3" x14ac:dyDescent="0.25">
      <c r="A41" s="14">
        <v>210726</v>
      </c>
      <c r="B41" s="1" t="s">
        <v>465</v>
      </c>
      <c r="C41" s="12">
        <v>48073611</v>
      </c>
    </row>
    <row r="42" spans="1:3" x14ac:dyDescent="0.25">
      <c r="A42" s="14">
        <v>210727</v>
      </c>
      <c r="B42" s="1" t="s">
        <v>467</v>
      </c>
      <c r="C42" s="12">
        <v>121431218</v>
      </c>
    </row>
    <row r="43" spans="1:3" x14ac:dyDescent="0.25">
      <c r="A43" s="14">
        <v>210728</v>
      </c>
      <c r="B43" s="1" t="s">
        <v>469</v>
      </c>
      <c r="C43" s="12">
        <v>385130</v>
      </c>
    </row>
    <row r="44" spans="1:3" x14ac:dyDescent="0.25">
      <c r="A44" s="14">
        <v>210729</v>
      </c>
      <c r="B44" s="1" t="s">
        <v>471</v>
      </c>
      <c r="C44" s="12">
        <v>48738620</v>
      </c>
    </row>
    <row r="45" spans="1:3" x14ac:dyDescent="0.25">
      <c r="A45" s="14">
        <v>210730</v>
      </c>
      <c r="B45" s="1" t="s">
        <v>473</v>
      </c>
      <c r="C45" s="12">
        <v>28383922</v>
      </c>
    </row>
    <row r="46" spans="1:3" x14ac:dyDescent="0.25">
      <c r="A46" s="14">
        <v>210731</v>
      </c>
      <c r="B46" s="1" t="s">
        <v>475</v>
      </c>
      <c r="C46" s="12">
        <v>8644875</v>
      </c>
    </row>
    <row r="47" spans="1:3" x14ac:dyDescent="0.25">
      <c r="A47" s="14">
        <v>210732</v>
      </c>
      <c r="B47" s="1" t="s">
        <v>477</v>
      </c>
      <c r="C47" s="12">
        <v>82049969</v>
      </c>
    </row>
    <row r="48" spans="1:3" x14ac:dyDescent="0.25">
      <c r="A48" s="14">
        <v>210733</v>
      </c>
      <c r="B48" s="1" t="s">
        <v>479</v>
      </c>
      <c r="C48" s="12">
        <v>80703485</v>
      </c>
    </row>
    <row r="49" spans="1:3" x14ac:dyDescent="0.25">
      <c r="A49" s="14">
        <v>210734</v>
      </c>
      <c r="B49" s="1" t="s">
        <v>483</v>
      </c>
      <c r="C49" s="12">
        <v>43127912</v>
      </c>
    </row>
    <row r="50" spans="1:3" x14ac:dyDescent="0.25">
      <c r="A50" s="14">
        <v>210735</v>
      </c>
      <c r="B50" s="1" t="s">
        <v>485</v>
      </c>
      <c r="C50" s="12">
        <v>293826</v>
      </c>
    </row>
    <row r="51" spans="1:3" x14ac:dyDescent="0.25">
      <c r="A51" s="14">
        <v>210736</v>
      </c>
      <c r="B51" s="1" t="s">
        <v>487</v>
      </c>
      <c r="C51" s="12">
        <v>375863</v>
      </c>
    </row>
    <row r="52" spans="1:3" x14ac:dyDescent="0.25">
      <c r="A52" s="14">
        <v>210737</v>
      </c>
      <c r="B52" s="1" t="s">
        <v>718</v>
      </c>
      <c r="C52" s="12">
        <v>872.15000000596046</v>
      </c>
    </row>
    <row r="53" spans="1:3" x14ac:dyDescent="0.25">
      <c r="A53" s="14">
        <v>210738</v>
      </c>
      <c r="B53" s="1" t="s">
        <v>719</v>
      </c>
      <c r="C53" s="12">
        <v>40578.75</v>
      </c>
    </row>
    <row r="54" spans="1:3" x14ac:dyDescent="0.25">
      <c r="A54" s="14">
        <v>210739</v>
      </c>
      <c r="B54" s="1" t="s">
        <v>720</v>
      </c>
      <c r="C54" s="12">
        <v>178115044</v>
      </c>
    </row>
    <row r="55" spans="1:3" x14ac:dyDescent="0.25">
      <c r="A55" s="14">
        <v>210740</v>
      </c>
      <c r="B55" s="1" t="s">
        <v>721</v>
      </c>
      <c r="C55" s="12">
        <v>4542434</v>
      </c>
    </row>
    <row r="56" spans="1:3" x14ac:dyDescent="0.25">
      <c r="A56" s="14">
        <v>210741</v>
      </c>
      <c r="B56" s="1" t="s">
        <v>722</v>
      </c>
      <c r="C56" s="12">
        <v>12301644</v>
      </c>
    </row>
    <row r="57" spans="1:3" x14ac:dyDescent="0.25">
      <c r="A57" s="14">
        <v>210742</v>
      </c>
      <c r="B57" s="1" t="s">
        <v>723</v>
      </c>
      <c r="C57" s="12">
        <v>58349321</v>
      </c>
    </row>
    <row r="58" spans="1:3" x14ac:dyDescent="0.25">
      <c r="A58" s="14">
        <v>210743</v>
      </c>
      <c r="B58" s="1" t="s">
        <v>724</v>
      </c>
      <c r="C58" s="12">
        <v>472429</v>
      </c>
    </row>
    <row r="59" spans="1:3" x14ac:dyDescent="0.25">
      <c r="A59" s="14">
        <v>210744</v>
      </c>
      <c r="B59" s="1" t="s">
        <v>725</v>
      </c>
      <c r="C59" s="12">
        <v>49687866</v>
      </c>
    </row>
    <row r="60" spans="1:3" x14ac:dyDescent="0.25">
      <c r="A60" s="14">
        <v>210745</v>
      </c>
      <c r="B60" s="1" t="s">
        <v>726</v>
      </c>
      <c r="C60" s="12">
        <v>92800</v>
      </c>
    </row>
    <row r="61" spans="1:3" x14ac:dyDescent="0.25">
      <c r="A61" s="14">
        <v>210746</v>
      </c>
      <c r="B61" s="1" t="s">
        <v>727</v>
      </c>
      <c r="C61" s="12">
        <v>38181859</v>
      </c>
    </row>
    <row r="62" spans="1:3" x14ac:dyDescent="0.25">
      <c r="A62" s="14">
        <v>210747</v>
      </c>
      <c r="B62" s="1" t="s">
        <v>728</v>
      </c>
      <c r="C62" s="12">
        <v>217637</v>
      </c>
    </row>
    <row r="63" spans="1:3" x14ac:dyDescent="0.25">
      <c r="A63" s="14">
        <v>210748</v>
      </c>
      <c r="B63" s="1" t="s">
        <v>730</v>
      </c>
      <c r="C63" s="12">
        <v>4445160</v>
      </c>
    </row>
    <row r="64" spans="1:3" x14ac:dyDescent="0.25">
      <c r="A64" s="14">
        <v>210749</v>
      </c>
      <c r="B64" s="1" t="s">
        <v>731</v>
      </c>
      <c r="C64" s="12">
        <v>522370</v>
      </c>
    </row>
    <row r="65" spans="1:3" x14ac:dyDescent="0.25">
      <c r="A65" s="14">
        <v>210750</v>
      </c>
      <c r="B65" s="1" t="s">
        <v>732</v>
      </c>
      <c r="C65" s="12">
        <v>75000000</v>
      </c>
    </row>
    <row r="66" spans="1:3" x14ac:dyDescent="0.25">
      <c r="A66" s="14">
        <v>210751</v>
      </c>
      <c r="B66" s="1" t="s">
        <v>504</v>
      </c>
      <c r="C66" s="12">
        <v>1133318875</v>
      </c>
    </row>
    <row r="67" spans="1:3" x14ac:dyDescent="0.25">
      <c r="A67" s="14">
        <v>210752</v>
      </c>
      <c r="B67" s="1" t="s">
        <v>506</v>
      </c>
      <c r="C67" s="12">
        <v>14860459.529999999</v>
      </c>
    </row>
    <row r="68" spans="1:3" x14ac:dyDescent="0.25">
      <c r="A68" s="14">
        <v>210753</v>
      </c>
      <c r="B68" s="1" t="s">
        <v>508</v>
      </c>
      <c r="C68" s="12">
        <v>29007155</v>
      </c>
    </row>
    <row r="69" spans="1:3" x14ac:dyDescent="0.25">
      <c r="A69" s="14">
        <v>210754</v>
      </c>
      <c r="B69" s="1" t="s">
        <v>512</v>
      </c>
      <c r="C69" s="12">
        <v>2680121</v>
      </c>
    </row>
    <row r="70" spans="1:3" x14ac:dyDescent="0.25">
      <c r="A70" s="14">
        <v>210755</v>
      </c>
      <c r="B70" s="1" t="s">
        <v>514</v>
      </c>
      <c r="C70" s="12">
        <v>108040401</v>
      </c>
    </row>
    <row r="71" spans="1:3" x14ac:dyDescent="0.25">
      <c r="A71" s="14">
        <v>210756</v>
      </c>
      <c r="B71" s="1" t="s">
        <v>516</v>
      </c>
      <c r="C71" s="12">
        <v>57233936</v>
      </c>
    </row>
    <row r="72" spans="1:3" x14ac:dyDescent="0.25">
      <c r="A72" s="14">
        <v>210757</v>
      </c>
      <c r="B72" s="1" t="s">
        <v>518</v>
      </c>
      <c r="C72" s="12">
        <v>40398042</v>
      </c>
    </row>
    <row r="73" spans="1:3" x14ac:dyDescent="0.25">
      <c r="A73" s="14">
        <v>210758</v>
      </c>
      <c r="B73" s="1" t="s">
        <v>520</v>
      </c>
      <c r="C73" s="12">
        <v>250000000</v>
      </c>
    </row>
    <row r="74" spans="1:3" x14ac:dyDescent="0.25">
      <c r="A74" s="14">
        <v>210759</v>
      </c>
      <c r="B74" s="1" t="s">
        <v>524</v>
      </c>
      <c r="C74" s="12">
        <v>386492.54</v>
      </c>
    </row>
    <row r="75" spans="1:3" x14ac:dyDescent="0.25">
      <c r="A75" s="14">
        <v>210760</v>
      </c>
      <c r="B75" s="1" t="s">
        <v>526</v>
      </c>
      <c r="C75" s="12">
        <v>1136</v>
      </c>
    </row>
    <row r="76" spans="1:3" x14ac:dyDescent="0.25">
      <c r="A76" s="14">
        <v>210761</v>
      </c>
      <c r="B76" s="1" t="s">
        <v>528</v>
      </c>
      <c r="C76" s="12">
        <v>1255248</v>
      </c>
    </row>
    <row r="77" spans="1:3" x14ac:dyDescent="0.25">
      <c r="A77" s="14">
        <v>210762</v>
      </c>
      <c r="B77" s="1" t="s">
        <v>530</v>
      </c>
      <c r="C77" s="12">
        <v>59741232</v>
      </c>
    </row>
    <row r="78" spans="1:3" x14ac:dyDescent="0.25">
      <c r="A78" s="14">
        <v>210763</v>
      </c>
      <c r="B78" s="1" t="s">
        <v>534</v>
      </c>
      <c r="C78" s="12">
        <v>225260355</v>
      </c>
    </row>
    <row r="79" spans="1:3" x14ac:dyDescent="0.25">
      <c r="A79" s="14">
        <v>210764</v>
      </c>
      <c r="B79" s="1" t="s">
        <v>536</v>
      </c>
      <c r="C79" s="12">
        <v>2486459321</v>
      </c>
    </row>
    <row r="80" spans="1:3" x14ac:dyDescent="0.25">
      <c r="A80" s="14">
        <v>210765</v>
      </c>
      <c r="B80" s="1" t="s">
        <v>538</v>
      </c>
      <c r="C80" s="12">
        <v>3004977</v>
      </c>
    </row>
    <row r="81" spans="1:3" x14ac:dyDescent="0.25">
      <c r="A81" s="14">
        <v>210766</v>
      </c>
      <c r="B81" s="1" t="s">
        <v>542</v>
      </c>
      <c r="C81" s="12">
        <v>6262866</v>
      </c>
    </row>
    <row r="82" spans="1:3" x14ac:dyDescent="0.25">
      <c r="C82" s="15">
        <f>SUM(C2:C81)</f>
        <v>13002710934.450001</v>
      </c>
    </row>
    <row r="84" spans="1:3" x14ac:dyDescent="0.25">
      <c r="A84" s="14">
        <v>210763</v>
      </c>
      <c r="B84" s="1" t="s">
        <v>281</v>
      </c>
      <c r="C84" s="12">
        <v>412205</v>
      </c>
    </row>
    <row r="85" spans="1:3" x14ac:dyDescent="0.25">
      <c r="A85" s="14">
        <v>210764</v>
      </c>
      <c r="B85" s="1" t="s">
        <v>251</v>
      </c>
      <c r="C85" s="12">
        <v>511528</v>
      </c>
    </row>
    <row r="86" spans="1:3" x14ac:dyDescent="0.25">
      <c r="A86" s="14">
        <v>210765</v>
      </c>
      <c r="B86" s="1" t="s">
        <v>284</v>
      </c>
      <c r="C86" s="12">
        <v>173001</v>
      </c>
    </row>
    <row r="87" spans="1:3" x14ac:dyDescent="0.25">
      <c r="A87" s="14">
        <v>210766</v>
      </c>
      <c r="B87" s="1" t="s">
        <v>286</v>
      </c>
      <c r="C87" s="12">
        <v>471446</v>
      </c>
    </row>
    <row r="88" spans="1:3" x14ac:dyDescent="0.25">
      <c r="A88" s="14">
        <v>210767</v>
      </c>
      <c r="B88" s="1" t="s">
        <v>288</v>
      </c>
      <c r="C88" s="12">
        <v>87188500</v>
      </c>
    </row>
    <row r="89" spans="1:3" x14ac:dyDescent="0.25">
      <c r="A89" s="14">
        <v>210768</v>
      </c>
      <c r="B89" s="1" t="s">
        <v>290</v>
      </c>
      <c r="C89" s="12">
        <v>76377039</v>
      </c>
    </row>
    <row r="90" spans="1:3" x14ac:dyDescent="0.25">
      <c r="A90" s="14">
        <v>210769</v>
      </c>
      <c r="B90" s="1" t="s">
        <v>292</v>
      </c>
      <c r="C90" s="12">
        <v>48004211</v>
      </c>
    </row>
    <row r="91" spans="1:3" x14ac:dyDescent="0.25">
      <c r="A91" s="14">
        <v>210770</v>
      </c>
      <c r="B91" s="1" t="s">
        <v>294</v>
      </c>
      <c r="C91" s="12">
        <v>1597872</v>
      </c>
    </row>
    <row r="92" spans="1:3" x14ac:dyDescent="0.25">
      <c r="A92" s="14">
        <v>210771</v>
      </c>
      <c r="B92" s="1" t="s">
        <v>296</v>
      </c>
      <c r="C92" s="12">
        <v>100000000</v>
      </c>
    </row>
    <row r="93" spans="1:3" x14ac:dyDescent="0.25">
      <c r="A93" s="14">
        <v>210772</v>
      </c>
      <c r="B93" s="1" t="s">
        <v>298</v>
      </c>
      <c r="C93" s="12">
        <v>8471</v>
      </c>
    </row>
    <row r="94" spans="1:3" x14ac:dyDescent="0.25">
      <c r="A94" s="14">
        <v>210773</v>
      </c>
      <c r="B94" s="1" t="s">
        <v>300</v>
      </c>
      <c r="C94" s="12">
        <v>112500</v>
      </c>
    </row>
    <row r="95" spans="1:3" x14ac:dyDescent="0.25">
      <c r="A95" s="14">
        <v>210774</v>
      </c>
      <c r="B95" s="1" t="s">
        <v>302</v>
      </c>
      <c r="C95" s="12">
        <v>4627288</v>
      </c>
    </row>
    <row r="96" spans="1:3" x14ac:dyDescent="0.25">
      <c r="A96" s="14">
        <v>210775</v>
      </c>
      <c r="B96" s="1" t="s">
        <v>308</v>
      </c>
      <c r="C96" s="12">
        <v>180000000</v>
      </c>
    </row>
    <row r="97" spans="3:3" x14ac:dyDescent="0.25">
      <c r="C97" s="15">
        <f>SUM(C84:C96)</f>
        <v>499484061</v>
      </c>
    </row>
  </sheetData>
  <autoFilter ref="A1:L8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9"/>
  <sheetViews>
    <sheetView showGridLines="0" topLeftCell="A118" workbookViewId="0">
      <selection activeCell="A133" sqref="A133:C138"/>
    </sheetView>
  </sheetViews>
  <sheetFormatPr baseColWidth="10" defaultRowHeight="15" x14ac:dyDescent="0.25"/>
  <cols>
    <col min="1" max="1" width="9.7109375" customWidth="1"/>
    <col min="2" max="2" width="63" customWidth="1"/>
    <col min="3" max="3" width="16.85546875" style="15" bestFit="1" customWidth="1"/>
    <col min="4" max="4" width="12.5703125" bestFit="1" customWidth="1"/>
  </cols>
  <sheetData>
    <row r="1" spans="1:3" x14ac:dyDescent="0.25">
      <c r="A1" s="19" t="s">
        <v>733</v>
      </c>
      <c r="B1" s="19" t="s">
        <v>1</v>
      </c>
      <c r="C1" s="45" t="s">
        <v>734</v>
      </c>
    </row>
    <row r="2" spans="1:3" x14ac:dyDescent="0.25">
      <c r="A2" s="27">
        <v>210703</v>
      </c>
      <c r="B2" s="16" t="s">
        <v>425</v>
      </c>
      <c r="C2" s="17">
        <v>7613608</v>
      </c>
    </row>
    <row r="3" spans="1:3" x14ac:dyDescent="0.25">
      <c r="A3" s="27">
        <v>210704</v>
      </c>
      <c r="B3" s="16" t="s">
        <v>741</v>
      </c>
      <c r="C3" s="17">
        <v>2189800</v>
      </c>
    </row>
    <row r="4" spans="1:3" x14ac:dyDescent="0.25">
      <c r="A4" s="27">
        <v>210705</v>
      </c>
      <c r="B4" s="16" t="s">
        <v>742</v>
      </c>
      <c r="C4" s="17">
        <v>22617868</v>
      </c>
    </row>
    <row r="5" spans="1:3" x14ac:dyDescent="0.25">
      <c r="A5" s="27">
        <v>210706</v>
      </c>
      <c r="B5" s="16" t="s">
        <v>735</v>
      </c>
      <c r="C5" s="17">
        <v>3111696</v>
      </c>
    </row>
    <row r="6" spans="1:3" x14ac:dyDescent="0.25">
      <c r="A6" s="27">
        <v>210707</v>
      </c>
      <c r="B6" s="16" t="s">
        <v>433</v>
      </c>
      <c r="C6" s="17">
        <v>2341642</v>
      </c>
    </row>
    <row r="7" spans="1:3" x14ac:dyDescent="0.25">
      <c r="A7" s="27">
        <v>210708</v>
      </c>
      <c r="B7" s="16" t="s">
        <v>435</v>
      </c>
      <c r="C7" s="17">
        <v>36776266</v>
      </c>
    </row>
    <row r="8" spans="1:3" x14ac:dyDescent="0.25">
      <c r="A8" s="27">
        <v>210709</v>
      </c>
      <c r="B8" s="16" t="s">
        <v>743</v>
      </c>
      <c r="C8" s="17">
        <v>510506</v>
      </c>
    </row>
    <row r="9" spans="1:3" x14ac:dyDescent="0.25">
      <c r="A9" s="27">
        <v>210710</v>
      </c>
      <c r="B9" s="16" t="s">
        <v>736</v>
      </c>
      <c r="C9" s="17">
        <v>2517</v>
      </c>
    </row>
    <row r="10" spans="1:3" x14ac:dyDescent="0.25">
      <c r="A10" s="27">
        <v>210711</v>
      </c>
      <c r="B10" s="16" t="s">
        <v>744</v>
      </c>
      <c r="C10" s="17">
        <v>3460071</v>
      </c>
    </row>
    <row r="11" spans="1:3" x14ac:dyDescent="0.25">
      <c r="A11" s="27">
        <v>210712</v>
      </c>
      <c r="B11" s="16" t="s">
        <v>745</v>
      </c>
      <c r="C11" s="17">
        <v>2551969</v>
      </c>
    </row>
    <row r="12" spans="1:3" x14ac:dyDescent="0.25">
      <c r="A12" s="27">
        <v>210713</v>
      </c>
      <c r="B12" s="16" t="s">
        <v>746</v>
      </c>
      <c r="C12" s="17">
        <v>143846885</v>
      </c>
    </row>
    <row r="13" spans="1:3" x14ac:dyDescent="0.25">
      <c r="A13" s="27">
        <v>210714</v>
      </c>
      <c r="B13" s="16" t="s">
        <v>747</v>
      </c>
      <c r="C13" s="17">
        <v>304077260.87</v>
      </c>
    </row>
    <row r="14" spans="1:3" x14ac:dyDescent="0.25">
      <c r="A14" s="27">
        <v>210715</v>
      </c>
      <c r="B14" s="16" t="s">
        <v>737</v>
      </c>
      <c r="C14" s="17">
        <v>107198314</v>
      </c>
    </row>
    <row r="15" spans="1:3" x14ac:dyDescent="0.25">
      <c r="A15" s="27">
        <v>210716</v>
      </c>
      <c r="B15" s="16" t="s">
        <v>738</v>
      </c>
      <c r="C15" s="17">
        <v>51807678.599999994</v>
      </c>
    </row>
    <row r="16" spans="1:3" x14ac:dyDescent="0.25">
      <c r="A16" s="27">
        <v>210717</v>
      </c>
      <c r="B16" s="16" t="s">
        <v>748</v>
      </c>
      <c r="C16" s="17">
        <v>48073611</v>
      </c>
    </row>
    <row r="17" spans="1:4" ht="30" x14ac:dyDescent="0.25">
      <c r="A17" s="27">
        <v>210718</v>
      </c>
      <c r="B17" s="16" t="s">
        <v>749</v>
      </c>
      <c r="C17" s="17">
        <v>121431218</v>
      </c>
    </row>
    <row r="18" spans="1:4" x14ac:dyDescent="0.25">
      <c r="A18" s="27">
        <v>210719</v>
      </c>
      <c r="B18" s="16" t="s">
        <v>739</v>
      </c>
      <c r="C18" s="17">
        <v>385130</v>
      </c>
    </row>
    <row r="19" spans="1:4" ht="30" x14ac:dyDescent="0.25">
      <c r="A19" s="27">
        <v>210720</v>
      </c>
      <c r="B19" s="16" t="s">
        <v>750</v>
      </c>
      <c r="C19" s="17">
        <v>48738620</v>
      </c>
    </row>
    <row r="20" spans="1:4" ht="30" x14ac:dyDescent="0.25">
      <c r="A20" s="27">
        <v>210721</v>
      </c>
      <c r="B20" s="16" t="s">
        <v>740</v>
      </c>
      <c r="C20" s="17">
        <v>28383922</v>
      </c>
    </row>
    <row r="21" spans="1:4" ht="30" x14ac:dyDescent="0.25">
      <c r="A21" s="27">
        <v>210722</v>
      </c>
      <c r="B21" s="16" t="s">
        <v>475</v>
      </c>
      <c r="C21" s="17">
        <v>8644875</v>
      </c>
    </row>
    <row r="22" spans="1:4" ht="30" x14ac:dyDescent="0.25">
      <c r="A22" s="27">
        <v>210723</v>
      </c>
      <c r="B22" s="16" t="s">
        <v>477</v>
      </c>
      <c r="C22" s="17">
        <v>82049969</v>
      </c>
    </row>
    <row r="23" spans="1:4" ht="30" x14ac:dyDescent="0.25">
      <c r="A23" s="27">
        <v>210724</v>
      </c>
      <c r="B23" s="16" t="s">
        <v>479</v>
      </c>
      <c r="C23" s="17">
        <v>80703485</v>
      </c>
    </row>
    <row r="24" spans="1:4" x14ac:dyDescent="0.25">
      <c r="A24" s="171" t="s">
        <v>751</v>
      </c>
      <c r="B24" s="171"/>
      <c r="C24" s="18">
        <f>SUM(C2:C23)</f>
        <v>1106516911.47</v>
      </c>
    </row>
    <row r="26" spans="1:4" x14ac:dyDescent="0.25">
      <c r="A26" s="19" t="s">
        <v>733</v>
      </c>
      <c r="B26" s="19" t="s">
        <v>1</v>
      </c>
      <c r="C26" s="45" t="s">
        <v>734</v>
      </c>
    </row>
    <row r="27" spans="1:4" ht="30" x14ac:dyDescent="0.25">
      <c r="A27" s="27">
        <v>210725</v>
      </c>
      <c r="B27" s="21" t="s">
        <v>752</v>
      </c>
      <c r="C27" s="17">
        <v>43127912</v>
      </c>
      <c r="D27" s="15"/>
    </row>
    <row r="28" spans="1:4" ht="30" x14ac:dyDescent="0.25">
      <c r="A28" s="27">
        <v>210726</v>
      </c>
      <c r="B28" s="21" t="s">
        <v>753</v>
      </c>
      <c r="C28" s="17">
        <v>293826</v>
      </c>
      <c r="D28" s="15"/>
    </row>
    <row r="29" spans="1:4" x14ac:dyDescent="0.25">
      <c r="A29" s="27">
        <v>210727</v>
      </c>
      <c r="B29" s="21" t="s">
        <v>754</v>
      </c>
      <c r="C29" s="17">
        <v>375863</v>
      </c>
      <c r="D29" s="15"/>
    </row>
    <row r="30" spans="1:4" x14ac:dyDescent="0.25">
      <c r="A30" s="27">
        <v>210728</v>
      </c>
      <c r="B30" s="21" t="s">
        <v>755</v>
      </c>
      <c r="C30" s="17">
        <v>41451</v>
      </c>
      <c r="D30" s="15"/>
    </row>
    <row r="31" spans="1:4" x14ac:dyDescent="0.25">
      <c r="A31" s="27">
        <v>210729</v>
      </c>
      <c r="B31" s="21" t="s">
        <v>756</v>
      </c>
      <c r="C31" s="17">
        <v>178115044</v>
      </c>
      <c r="D31" s="15"/>
    </row>
    <row r="32" spans="1:4" x14ac:dyDescent="0.25">
      <c r="A32" s="27">
        <v>210730</v>
      </c>
      <c r="B32" s="21" t="s">
        <v>757</v>
      </c>
      <c r="C32" s="17">
        <v>4542434</v>
      </c>
      <c r="D32" s="15"/>
    </row>
    <row r="33" spans="1:4" x14ac:dyDescent="0.25">
      <c r="A33" s="27">
        <v>210731</v>
      </c>
      <c r="B33" s="21" t="s">
        <v>758</v>
      </c>
      <c r="C33" s="17">
        <v>12301644</v>
      </c>
      <c r="D33" s="15"/>
    </row>
    <row r="34" spans="1:4" x14ac:dyDescent="0.25">
      <c r="A34" s="27">
        <v>210732</v>
      </c>
      <c r="B34" s="21" t="s">
        <v>759</v>
      </c>
      <c r="C34" s="17">
        <v>58349321</v>
      </c>
      <c r="D34" s="15"/>
    </row>
    <row r="35" spans="1:4" x14ac:dyDescent="0.25">
      <c r="A35" s="27">
        <v>210733</v>
      </c>
      <c r="B35" s="21" t="s">
        <v>760</v>
      </c>
      <c r="C35" s="17">
        <v>472429</v>
      </c>
      <c r="D35" s="15"/>
    </row>
    <row r="36" spans="1:4" x14ac:dyDescent="0.25">
      <c r="A36" s="27">
        <v>210734</v>
      </c>
      <c r="B36" s="21" t="s">
        <v>761</v>
      </c>
      <c r="C36" s="17">
        <v>49687866</v>
      </c>
      <c r="D36" s="15"/>
    </row>
    <row r="37" spans="1:4" x14ac:dyDescent="0.25">
      <c r="A37" s="27">
        <v>210735</v>
      </c>
      <c r="B37" s="21" t="s">
        <v>762</v>
      </c>
      <c r="C37" s="17">
        <v>92800</v>
      </c>
      <c r="D37" s="15"/>
    </row>
    <row r="38" spans="1:4" x14ac:dyDescent="0.25">
      <c r="A38" s="27">
        <v>210736</v>
      </c>
      <c r="B38" s="21" t="s">
        <v>763</v>
      </c>
      <c r="C38" s="17">
        <v>38181859</v>
      </c>
      <c r="D38" s="15"/>
    </row>
    <row r="39" spans="1:4" x14ac:dyDescent="0.25">
      <c r="A39" s="27">
        <v>210737</v>
      </c>
      <c r="B39" s="21" t="s">
        <v>764</v>
      </c>
      <c r="C39" s="17">
        <v>217637</v>
      </c>
      <c r="D39" s="15"/>
    </row>
    <row r="40" spans="1:4" x14ac:dyDescent="0.25">
      <c r="A40" s="27">
        <v>210738</v>
      </c>
      <c r="B40" s="21" t="s">
        <v>765</v>
      </c>
      <c r="C40" s="17">
        <v>4445160</v>
      </c>
      <c r="D40" s="15"/>
    </row>
    <row r="41" spans="1:4" x14ac:dyDescent="0.25">
      <c r="A41" s="27">
        <v>210739</v>
      </c>
      <c r="B41" s="21" t="s">
        <v>766</v>
      </c>
      <c r="C41" s="17">
        <v>522370</v>
      </c>
      <c r="D41" s="15"/>
    </row>
    <row r="42" spans="1:4" x14ac:dyDescent="0.25">
      <c r="A42" s="27">
        <v>210740</v>
      </c>
      <c r="B42" s="21" t="s">
        <v>767</v>
      </c>
      <c r="C42" s="17">
        <v>75000000</v>
      </c>
      <c r="D42" s="15"/>
    </row>
    <row r="43" spans="1:4" x14ac:dyDescent="0.25">
      <c r="A43" s="27">
        <v>210741</v>
      </c>
      <c r="B43" s="21" t="s">
        <v>768</v>
      </c>
      <c r="C43" s="17">
        <v>1133318875</v>
      </c>
      <c r="D43" s="15"/>
    </row>
    <row r="44" spans="1:4" x14ac:dyDescent="0.25">
      <c r="A44" s="27">
        <v>210742</v>
      </c>
      <c r="B44" s="21" t="s">
        <v>769</v>
      </c>
      <c r="C44" s="17">
        <v>14860460</v>
      </c>
      <c r="D44" s="15"/>
    </row>
    <row r="45" spans="1:4" x14ac:dyDescent="0.25">
      <c r="A45" s="27">
        <v>210743</v>
      </c>
      <c r="B45" s="21" t="s">
        <v>508</v>
      </c>
      <c r="C45" s="17">
        <v>29007155</v>
      </c>
      <c r="D45" s="15"/>
    </row>
    <row r="46" spans="1:4" x14ac:dyDescent="0.25">
      <c r="A46" s="27">
        <v>210744</v>
      </c>
      <c r="B46" s="21" t="s">
        <v>770</v>
      </c>
      <c r="C46" s="17">
        <v>2680121</v>
      </c>
      <c r="D46" s="15"/>
    </row>
    <row r="47" spans="1:4" x14ac:dyDescent="0.25">
      <c r="A47" s="27">
        <v>210745</v>
      </c>
      <c r="B47" s="21" t="s">
        <v>514</v>
      </c>
      <c r="C47" s="17">
        <v>108040401</v>
      </c>
      <c r="D47" s="15"/>
    </row>
    <row r="48" spans="1:4" x14ac:dyDescent="0.25">
      <c r="A48" s="27">
        <v>210746</v>
      </c>
      <c r="B48" s="21" t="s">
        <v>771</v>
      </c>
      <c r="C48" s="17">
        <v>57233936</v>
      </c>
      <c r="D48" s="15"/>
    </row>
    <row r="49" spans="1:4" ht="30" x14ac:dyDescent="0.25">
      <c r="A49" s="27">
        <v>210747</v>
      </c>
      <c r="B49" s="21" t="s">
        <v>777</v>
      </c>
      <c r="C49" s="17">
        <v>40398042</v>
      </c>
      <c r="D49" s="15"/>
    </row>
    <row r="50" spans="1:4" ht="30" x14ac:dyDescent="0.25">
      <c r="A50" s="27">
        <v>210748</v>
      </c>
      <c r="B50" s="21" t="s">
        <v>772</v>
      </c>
      <c r="C50" s="17">
        <v>250000000</v>
      </c>
      <c r="D50" s="15"/>
    </row>
    <row r="51" spans="1:4" ht="30" x14ac:dyDescent="0.25">
      <c r="A51" s="27">
        <v>210749</v>
      </c>
      <c r="B51" s="21" t="s">
        <v>773</v>
      </c>
      <c r="C51" s="17">
        <v>386493</v>
      </c>
      <c r="D51" s="15"/>
    </row>
    <row r="52" spans="1:4" x14ac:dyDescent="0.25">
      <c r="A52" s="27">
        <v>210750</v>
      </c>
      <c r="B52" s="21" t="s">
        <v>774</v>
      </c>
      <c r="C52" s="17">
        <v>1136</v>
      </c>
      <c r="D52" s="15"/>
    </row>
    <row r="53" spans="1:4" x14ac:dyDescent="0.25">
      <c r="A53" s="27">
        <v>210751</v>
      </c>
      <c r="B53" s="21" t="s">
        <v>775</v>
      </c>
      <c r="C53" s="17">
        <v>1255248</v>
      </c>
      <c r="D53" s="15"/>
    </row>
    <row r="54" spans="1:4" x14ac:dyDescent="0.25">
      <c r="A54" s="27">
        <v>210752</v>
      </c>
      <c r="B54" s="21" t="s">
        <v>776</v>
      </c>
      <c r="C54" s="17">
        <v>59741232</v>
      </c>
      <c r="D54" s="15"/>
    </row>
    <row r="55" spans="1:4" x14ac:dyDescent="0.25">
      <c r="A55" s="171" t="s">
        <v>798</v>
      </c>
      <c r="B55" s="171"/>
      <c r="C55" s="18">
        <f>SUM(C27:C54)</f>
        <v>2162690715</v>
      </c>
    </row>
    <row r="56" spans="1:4" x14ac:dyDescent="0.25">
      <c r="A56" s="22"/>
      <c r="B56" s="22"/>
      <c r="C56" s="23"/>
    </row>
    <row r="57" spans="1:4" x14ac:dyDescent="0.25">
      <c r="A57" s="19" t="s">
        <v>733</v>
      </c>
      <c r="B57" s="19" t="s">
        <v>1</v>
      </c>
      <c r="C57" s="45" t="s">
        <v>734</v>
      </c>
      <c r="D57" s="15"/>
    </row>
    <row r="58" spans="1:4" ht="30" x14ac:dyDescent="0.25">
      <c r="A58" s="27">
        <v>210753</v>
      </c>
      <c r="B58" s="44" t="s">
        <v>801</v>
      </c>
      <c r="C58" s="17">
        <v>225260355</v>
      </c>
      <c r="D58" s="3"/>
    </row>
    <row r="59" spans="1:4" ht="30" x14ac:dyDescent="0.25">
      <c r="A59" s="27">
        <v>210754</v>
      </c>
      <c r="B59" s="44" t="s">
        <v>538</v>
      </c>
      <c r="C59" s="11">
        <v>3004977</v>
      </c>
      <c r="D59" s="15"/>
    </row>
    <row r="60" spans="1:4" x14ac:dyDescent="0.25">
      <c r="A60" s="172" t="s">
        <v>800</v>
      </c>
      <c r="B60" s="172"/>
      <c r="C60" s="43">
        <f>SUM(C58:C59)</f>
        <v>228265332</v>
      </c>
      <c r="D60" s="15"/>
    </row>
    <row r="61" spans="1:4" x14ac:dyDescent="0.25">
      <c r="A61" s="22"/>
      <c r="B61" s="22"/>
      <c r="C61" s="23"/>
    </row>
    <row r="62" spans="1:4" x14ac:dyDescent="0.25">
      <c r="A62" s="22"/>
      <c r="B62" s="22"/>
      <c r="C62" s="23"/>
    </row>
    <row r="63" spans="1:4" x14ac:dyDescent="0.25">
      <c r="A63" s="19" t="s">
        <v>733</v>
      </c>
      <c r="B63" s="19" t="s">
        <v>1</v>
      </c>
      <c r="C63" s="45" t="s">
        <v>734</v>
      </c>
    </row>
    <row r="64" spans="1:4" x14ac:dyDescent="0.25">
      <c r="A64" s="27">
        <v>210755</v>
      </c>
      <c r="B64" s="20" t="s">
        <v>807</v>
      </c>
      <c r="C64" s="17">
        <v>2486459321</v>
      </c>
    </row>
    <row r="65" spans="1:3" x14ac:dyDescent="0.25">
      <c r="A65" s="172" t="s">
        <v>799</v>
      </c>
      <c r="B65" s="172"/>
      <c r="C65" s="43">
        <f>+C64</f>
        <v>2486459321</v>
      </c>
    </row>
    <row r="66" spans="1:3" x14ac:dyDescent="0.25">
      <c r="A66" s="40"/>
      <c r="B66" s="41"/>
      <c r="C66" s="42"/>
    </row>
    <row r="68" spans="1:3" x14ac:dyDescent="0.25">
      <c r="A68" s="19" t="s">
        <v>733</v>
      </c>
      <c r="B68" s="19" t="s">
        <v>1</v>
      </c>
      <c r="C68" s="45" t="s">
        <v>734</v>
      </c>
    </row>
    <row r="69" spans="1:3" x14ac:dyDescent="0.25">
      <c r="A69" s="27">
        <v>210901</v>
      </c>
      <c r="B69" s="20" t="s">
        <v>779</v>
      </c>
      <c r="C69" s="17">
        <v>4662746880.4799995</v>
      </c>
    </row>
    <row r="70" spans="1:3" x14ac:dyDescent="0.25">
      <c r="A70" s="171" t="s">
        <v>778</v>
      </c>
      <c r="B70" s="171"/>
      <c r="C70" s="18">
        <f>+C69</f>
        <v>4662746880.4799995</v>
      </c>
    </row>
    <row r="71" spans="1:3" x14ac:dyDescent="0.25">
      <c r="A71" s="22"/>
      <c r="B71" s="22"/>
      <c r="C71" s="23"/>
    </row>
    <row r="72" spans="1:3" x14ac:dyDescent="0.25">
      <c r="A72" s="22"/>
      <c r="B72" s="22"/>
      <c r="C72" s="23"/>
    </row>
    <row r="73" spans="1:3" x14ac:dyDescent="0.25">
      <c r="A73" s="40"/>
      <c r="B73" s="41"/>
      <c r="C73" s="42"/>
    </row>
    <row r="74" spans="1:3" x14ac:dyDescent="0.25">
      <c r="A74" s="22"/>
      <c r="B74" s="22"/>
      <c r="C74" s="23"/>
    </row>
    <row r="75" spans="1:3" x14ac:dyDescent="0.25">
      <c r="A75" s="19" t="s">
        <v>733</v>
      </c>
      <c r="B75" s="19" t="s">
        <v>1</v>
      </c>
      <c r="C75" s="45" t="s">
        <v>734</v>
      </c>
    </row>
    <row r="76" spans="1:3" x14ac:dyDescent="0.25">
      <c r="A76" s="27">
        <v>210802</v>
      </c>
      <c r="B76" s="1" t="s">
        <v>281</v>
      </c>
      <c r="C76" s="11">
        <v>412205</v>
      </c>
    </row>
    <row r="77" spans="1:3" x14ac:dyDescent="0.25">
      <c r="A77" s="27">
        <v>210803</v>
      </c>
      <c r="B77" s="24" t="s">
        <v>251</v>
      </c>
      <c r="C77" s="25">
        <v>511528</v>
      </c>
    </row>
    <row r="78" spans="1:3" x14ac:dyDescent="0.25">
      <c r="A78" s="27">
        <v>210804</v>
      </c>
      <c r="B78" s="20" t="s">
        <v>284</v>
      </c>
      <c r="C78" s="17">
        <v>173001</v>
      </c>
    </row>
    <row r="79" spans="1:3" x14ac:dyDescent="0.25">
      <c r="A79" s="27">
        <v>210805</v>
      </c>
      <c r="B79" s="20" t="s">
        <v>286</v>
      </c>
      <c r="C79" s="17">
        <v>471446</v>
      </c>
    </row>
    <row r="80" spans="1:3" x14ac:dyDescent="0.25">
      <c r="A80" s="27">
        <v>210806</v>
      </c>
      <c r="B80" s="20" t="s">
        <v>288</v>
      </c>
      <c r="C80" s="17">
        <v>87188500</v>
      </c>
    </row>
    <row r="81" spans="1:3" x14ac:dyDescent="0.25">
      <c r="A81" s="27">
        <v>210807</v>
      </c>
      <c r="B81" s="20" t="s">
        <v>290</v>
      </c>
      <c r="C81" s="17">
        <v>76377039</v>
      </c>
    </row>
    <row r="82" spans="1:3" x14ac:dyDescent="0.25">
      <c r="A82" s="27">
        <v>210808</v>
      </c>
      <c r="B82" s="20" t="s">
        <v>292</v>
      </c>
      <c r="C82" s="17">
        <v>48004211</v>
      </c>
    </row>
    <row r="83" spans="1:3" x14ac:dyDescent="0.25">
      <c r="A83" s="27">
        <v>210809</v>
      </c>
      <c r="B83" s="20" t="s">
        <v>294</v>
      </c>
      <c r="C83" s="17">
        <v>1597872</v>
      </c>
    </row>
    <row r="84" spans="1:3" x14ac:dyDescent="0.25">
      <c r="A84" s="27">
        <v>210810</v>
      </c>
      <c r="B84" s="20" t="s">
        <v>296</v>
      </c>
      <c r="C84" s="17">
        <v>100000000</v>
      </c>
    </row>
    <row r="85" spans="1:3" x14ac:dyDescent="0.25">
      <c r="A85" s="27">
        <v>210811</v>
      </c>
      <c r="B85" s="20" t="s">
        <v>298</v>
      </c>
      <c r="C85" s="17">
        <v>8471</v>
      </c>
    </row>
    <row r="86" spans="1:3" x14ac:dyDescent="0.25">
      <c r="A86" s="27">
        <v>210812</v>
      </c>
      <c r="B86" s="20" t="s">
        <v>300</v>
      </c>
      <c r="C86" s="17">
        <v>112500</v>
      </c>
    </row>
    <row r="87" spans="1:3" x14ac:dyDescent="0.25">
      <c r="A87" s="27">
        <v>210813</v>
      </c>
      <c r="B87" s="20" t="s">
        <v>302</v>
      </c>
      <c r="C87" s="17">
        <v>4627288</v>
      </c>
    </row>
    <row r="88" spans="1:3" x14ac:dyDescent="0.25">
      <c r="A88" s="27">
        <v>210814</v>
      </c>
      <c r="B88" s="20" t="s">
        <v>308</v>
      </c>
      <c r="C88" s="17">
        <v>180000000</v>
      </c>
    </row>
    <row r="89" spans="1:3" x14ac:dyDescent="0.25">
      <c r="A89" s="171" t="s">
        <v>812</v>
      </c>
      <c r="B89" s="171"/>
      <c r="C89" s="18">
        <f>SUM(C76:C88)</f>
        <v>499484061</v>
      </c>
    </row>
    <row r="91" spans="1:3" x14ac:dyDescent="0.25">
      <c r="A91" s="26" t="s">
        <v>733</v>
      </c>
      <c r="B91" s="26" t="s">
        <v>1</v>
      </c>
      <c r="C91" s="46" t="s">
        <v>734</v>
      </c>
    </row>
    <row r="92" spans="1:3" x14ac:dyDescent="0.25">
      <c r="A92" s="27">
        <v>210755</v>
      </c>
      <c r="B92" s="28" t="s">
        <v>781</v>
      </c>
      <c r="C92" s="47">
        <v>900000000</v>
      </c>
    </row>
    <row r="93" spans="1:3" ht="30" x14ac:dyDescent="0.25">
      <c r="A93" s="27">
        <v>210756</v>
      </c>
      <c r="B93" s="29" t="s">
        <v>782</v>
      </c>
      <c r="C93" s="47">
        <v>979999999</v>
      </c>
    </row>
    <row r="94" spans="1:3" x14ac:dyDescent="0.25">
      <c r="A94" s="27">
        <v>210757</v>
      </c>
      <c r="B94" s="28" t="s">
        <v>783</v>
      </c>
      <c r="C94" s="47">
        <v>700000000</v>
      </c>
    </row>
    <row r="95" spans="1:3" x14ac:dyDescent="0.25">
      <c r="A95" s="27">
        <v>210758</v>
      </c>
      <c r="B95" s="28" t="s">
        <v>784</v>
      </c>
      <c r="C95" s="47">
        <v>707724631</v>
      </c>
    </row>
    <row r="96" spans="1:3" x14ac:dyDescent="0.25">
      <c r="A96" s="27">
        <v>210759</v>
      </c>
      <c r="B96" s="28" t="s">
        <v>785</v>
      </c>
      <c r="C96" s="47">
        <v>150000000</v>
      </c>
    </row>
    <row r="97" spans="1:3" x14ac:dyDescent="0.25">
      <c r="A97" s="27">
        <v>210760</v>
      </c>
      <c r="B97" s="28" t="s">
        <v>786</v>
      </c>
      <c r="C97" s="47">
        <v>500000000</v>
      </c>
    </row>
    <row r="98" spans="1:3" ht="30" x14ac:dyDescent="0.25">
      <c r="A98" s="27">
        <v>210761</v>
      </c>
      <c r="B98" s="29" t="s">
        <v>787</v>
      </c>
      <c r="C98" s="47">
        <v>150000000</v>
      </c>
    </row>
    <row r="99" spans="1:3" x14ac:dyDescent="0.25">
      <c r="A99" s="27">
        <v>210762</v>
      </c>
      <c r="B99" s="29" t="s">
        <v>788</v>
      </c>
      <c r="C99" s="47">
        <v>200000000</v>
      </c>
    </row>
    <row r="100" spans="1:3" x14ac:dyDescent="0.25">
      <c r="A100" s="27">
        <v>210763</v>
      </c>
      <c r="B100" s="29" t="s">
        <v>789</v>
      </c>
      <c r="C100" s="47">
        <v>710000000</v>
      </c>
    </row>
    <row r="101" spans="1:3" x14ac:dyDescent="0.25">
      <c r="A101" s="173" t="s">
        <v>780</v>
      </c>
      <c r="B101" s="173"/>
      <c r="C101" s="48">
        <v>4997724630</v>
      </c>
    </row>
    <row r="104" spans="1:3" x14ac:dyDescent="0.25">
      <c r="A104" s="19" t="s">
        <v>733</v>
      </c>
      <c r="B104" s="19" t="s">
        <v>1</v>
      </c>
      <c r="C104" s="45" t="s">
        <v>734</v>
      </c>
    </row>
    <row r="105" spans="1:3" ht="30" x14ac:dyDescent="0.25">
      <c r="A105" s="27">
        <v>210764</v>
      </c>
      <c r="B105" s="44" t="s">
        <v>802</v>
      </c>
      <c r="C105" s="11">
        <v>6262866</v>
      </c>
    </row>
    <row r="106" spans="1:3" x14ac:dyDescent="0.25">
      <c r="A106" s="172" t="s">
        <v>806</v>
      </c>
      <c r="B106" s="172"/>
      <c r="C106" s="18">
        <f>+C105</f>
        <v>6262866</v>
      </c>
    </row>
    <row r="108" spans="1:3" x14ac:dyDescent="0.25">
      <c r="A108" s="26" t="s">
        <v>733</v>
      </c>
      <c r="B108" s="26" t="s">
        <v>1</v>
      </c>
      <c r="C108" s="46" t="s">
        <v>734</v>
      </c>
    </row>
    <row r="109" spans="1:3" x14ac:dyDescent="0.25">
      <c r="A109" s="27">
        <v>210815</v>
      </c>
      <c r="B109" s="20" t="s">
        <v>803</v>
      </c>
      <c r="C109" s="17">
        <v>162869312</v>
      </c>
    </row>
    <row r="110" spans="1:3" x14ac:dyDescent="0.25">
      <c r="A110" s="27">
        <v>210902</v>
      </c>
      <c r="B110" s="20" t="s">
        <v>804</v>
      </c>
      <c r="C110" s="17">
        <v>1457962644.53</v>
      </c>
    </row>
    <row r="111" spans="1:3" x14ac:dyDescent="0.25">
      <c r="A111" s="171" t="s">
        <v>805</v>
      </c>
      <c r="B111" s="171"/>
      <c r="C111" s="18">
        <f>+C110+C109</f>
        <v>1620831956.53</v>
      </c>
    </row>
    <row r="121" spans="1:3" x14ac:dyDescent="0.25">
      <c r="A121" s="173" t="s">
        <v>790</v>
      </c>
      <c r="B121" s="173"/>
      <c r="C121" s="46" t="s">
        <v>734</v>
      </c>
    </row>
    <row r="122" spans="1:3" x14ac:dyDescent="0.25">
      <c r="A122" s="30" t="str">
        <f>+A24</f>
        <v>TOTAL RECURSOS CREE-VIGENCIA 2016</v>
      </c>
      <c r="B122" s="30"/>
      <c r="C122" s="31">
        <f>+C24</f>
        <v>1106516911.47</v>
      </c>
    </row>
    <row r="123" spans="1:3" x14ac:dyDescent="0.25">
      <c r="A123" s="30" t="str">
        <f>+A55</f>
        <v>TOTAL RECURSOS CREE - VIGENCIAS ANTERIORES 2013-2014-2015</v>
      </c>
      <c r="B123" s="30"/>
      <c r="C123" s="31">
        <f>+C55</f>
        <v>2162690715</v>
      </c>
    </row>
    <row r="124" spans="1:3" x14ac:dyDescent="0.25">
      <c r="A124" s="30" t="str">
        <f>+A60</f>
        <v>TOTAL  REASIGNACIÓN  RECURSOS CREE VIGENCIA 2016</v>
      </c>
      <c r="B124" s="30"/>
      <c r="C124" s="31">
        <f>+C60</f>
        <v>228265332</v>
      </c>
    </row>
    <row r="125" spans="1:3" x14ac:dyDescent="0.25">
      <c r="A125" s="30" t="str">
        <f>+A65</f>
        <v>TOTAL  REDISTRIBUCIÓN RECURSOS CREE VIGENCIA 2014</v>
      </c>
      <c r="B125" s="30"/>
      <c r="C125" s="31">
        <f>+C65</f>
        <v>2486459321</v>
      </c>
    </row>
    <row r="126" spans="1:3" x14ac:dyDescent="0.25">
      <c r="A126" s="30" t="str">
        <f>+A70</f>
        <v>TOTAL  RECURSOS ESTAMPILLA PRO UT</v>
      </c>
      <c r="B126" s="30"/>
      <c r="C126" s="31">
        <f>+C70</f>
        <v>4662746880.4799995</v>
      </c>
    </row>
    <row r="127" spans="1:3" x14ac:dyDescent="0.25">
      <c r="A127" s="30" t="str">
        <f>+A89</f>
        <v>TOTAL RECURSOS ESTAMPILLA PRO UNIVERSIDAD NACIONAL 2017</v>
      </c>
      <c r="B127" s="30"/>
      <c r="C127" s="31">
        <f>+C89</f>
        <v>499484061</v>
      </c>
    </row>
    <row r="128" spans="1:3" x14ac:dyDescent="0.25">
      <c r="A128" s="30" t="str">
        <f>+A101</f>
        <v>TOTAL RECURSOS CREE 2017</v>
      </c>
      <c r="B128" s="30"/>
      <c r="C128" s="31">
        <f>+C101</f>
        <v>4997724630</v>
      </c>
    </row>
    <row r="129" spans="1:3" x14ac:dyDescent="0.25">
      <c r="A129" s="30" t="str">
        <f>+A106</f>
        <v xml:space="preserve">TOTAL RENDIMIENTOS FINANCIEROS  RECURSOS CREE </v>
      </c>
      <c r="B129" s="30"/>
      <c r="C129" s="31">
        <f>+C106</f>
        <v>6262866</v>
      </c>
    </row>
    <row r="130" spans="1:3" x14ac:dyDescent="0.25">
      <c r="A130" s="30" t="str">
        <f>+A111</f>
        <v>TOTAL RECURSOS ESTAMPILLA PRO UNIVERSIDAD NACIONAL- PRO UT</v>
      </c>
      <c r="B130" s="30"/>
      <c r="C130" s="31">
        <f>+C111</f>
        <v>1620831956.53</v>
      </c>
    </row>
    <row r="131" spans="1:3" x14ac:dyDescent="0.25">
      <c r="A131" s="171" t="s">
        <v>791</v>
      </c>
      <c r="B131" s="171"/>
      <c r="C131" s="18">
        <f>SUM(C122:C130)</f>
        <v>17770982673.48</v>
      </c>
    </row>
    <row r="132" spans="1:3" s="32" customFormat="1" x14ac:dyDescent="0.25">
      <c r="A132"/>
      <c r="B132"/>
      <c r="C132" s="15"/>
    </row>
    <row r="133" spans="1:3" s="32" customFormat="1" x14ac:dyDescent="0.25">
      <c r="A133" s="37" t="s">
        <v>0</v>
      </c>
      <c r="B133" s="37" t="s">
        <v>794</v>
      </c>
      <c r="C133" s="38" t="s">
        <v>734</v>
      </c>
    </row>
    <row r="134" spans="1:3" s="32" customFormat="1" x14ac:dyDescent="0.25">
      <c r="A134" s="33">
        <v>12</v>
      </c>
      <c r="B134" s="33" t="s">
        <v>795</v>
      </c>
      <c r="C134" s="101">
        <f>+C135</f>
        <v>17836702191.450001</v>
      </c>
    </row>
    <row r="135" spans="1:3" s="32" customFormat="1" x14ac:dyDescent="0.25">
      <c r="A135" s="34">
        <v>1201</v>
      </c>
      <c r="B135" s="35" t="s">
        <v>796</v>
      </c>
      <c r="C135" s="101">
        <f>+C136</f>
        <v>17836702191.450001</v>
      </c>
    </row>
    <row r="136" spans="1:3" s="32" customFormat="1" x14ac:dyDescent="0.25">
      <c r="A136" s="36">
        <v>120102</v>
      </c>
      <c r="B136" s="36" t="s">
        <v>797</v>
      </c>
      <c r="C136" s="101">
        <f>+C137</f>
        <v>17836702191.450001</v>
      </c>
    </row>
    <row r="137" spans="1:3" s="32" customFormat="1" x14ac:dyDescent="0.25">
      <c r="A137" s="39">
        <v>12010203</v>
      </c>
      <c r="B137" s="39" t="s">
        <v>793</v>
      </c>
      <c r="C137" s="102">
        <v>17836702191.450001</v>
      </c>
    </row>
    <row r="138" spans="1:3" s="32" customFormat="1" x14ac:dyDescent="0.25">
      <c r="A138" s="174" t="s">
        <v>792</v>
      </c>
      <c r="B138" s="174"/>
      <c r="C138" s="103">
        <f>+C137</f>
        <v>17836702191.450001</v>
      </c>
    </row>
    <row r="139" spans="1:3" x14ac:dyDescent="0.25">
      <c r="A139" s="32"/>
      <c r="B139" s="32"/>
      <c r="C139" s="49"/>
    </row>
  </sheetData>
  <mergeCells count="12">
    <mergeCell ref="A131:B131"/>
    <mergeCell ref="A138:B138"/>
    <mergeCell ref="A65:B65"/>
    <mergeCell ref="A60:B60"/>
    <mergeCell ref="A106:B106"/>
    <mergeCell ref="A111:B111"/>
    <mergeCell ref="A121:B121"/>
    <mergeCell ref="A24:B24"/>
    <mergeCell ref="A55:B55"/>
    <mergeCell ref="A70:B70"/>
    <mergeCell ref="A89:B89"/>
    <mergeCell ref="A101:B101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28"/>
  <sheetViews>
    <sheetView workbookViewId="0">
      <selection activeCell="D33" sqref="D33"/>
    </sheetView>
  </sheetViews>
  <sheetFormatPr baseColWidth="10" defaultRowHeight="12" x14ac:dyDescent="0.2"/>
  <cols>
    <col min="1" max="1" width="11.28515625" style="51" bestFit="1" customWidth="1"/>
    <col min="2" max="2" width="28.140625" style="63" customWidth="1"/>
    <col min="3" max="3" width="12" style="64" bestFit="1" customWidth="1"/>
    <col min="4" max="16384" width="11.42578125" style="51"/>
  </cols>
  <sheetData>
    <row r="1" spans="1:4" ht="18.75" x14ac:dyDescent="0.3">
      <c r="A1" s="178"/>
      <c r="B1" s="178"/>
      <c r="C1" s="178"/>
    </row>
    <row r="2" spans="1:4" ht="18.75" x14ac:dyDescent="0.3">
      <c r="A2" s="178"/>
      <c r="B2" s="178"/>
      <c r="C2" s="178"/>
    </row>
    <row r="3" spans="1:4" ht="15.75" x14ac:dyDescent="0.25">
      <c r="A3" s="179"/>
      <c r="B3" s="179"/>
      <c r="C3" s="179"/>
    </row>
    <row r="4" spans="1:4" s="55" customFormat="1" ht="12.75" x14ac:dyDescent="0.2">
      <c r="A4" s="52" t="s">
        <v>733</v>
      </c>
      <c r="B4" s="53" t="s">
        <v>808</v>
      </c>
      <c r="C4" s="54" t="s">
        <v>809</v>
      </c>
    </row>
    <row r="5" spans="1:4" ht="24" x14ac:dyDescent="0.2">
      <c r="A5" s="60" t="s">
        <v>46</v>
      </c>
      <c r="B5" s="59" t="s">
        <v>47</v>
      </c>
      <c r="C5" s="58">
        <v>611014</v>
      </c>
    </row>
    <row r="6" spans="1:4" ht="24" x14ac:dyDescent="0.2">
      <c r="A6" s="60" t="s">
        <v>46</v>
      </c>
      <c r="B6" s="59" t="s">
        <v>47</v>
      </c>
      <c r="C6" s="58">
        <v>46212</v>
      </c>
      <c r="D6" s="65">
        <f>SUM(C5:C6)</f>
        <v>657226</v>
      </c>
    </row>
    <row r="7" spans="1:4" x14ac:dyDescent="0.2">
      <c r="A7" s="60" t="s">
        <v>55</v>
      </c>
      <c r="B7" s="59" t="s">
        <v>56</v>
      </c>
      <c r="C7" s="58">
        <v>4000000</v>
      </c>
    </row>
    <row r="8" spans="1:4" x14ac:dyDescent="0.2">
      <c r="A8" s="60" t="s">
        <v>55</v>
      </c>
      <c r="B8" s="59" t="s">
        <v>56</v>
      </c>
      <c r="C8" s="58">
        <v>5006250</v>
      </c>
    </row>
    <row r="9" spans="1:4" x14ac:dyDescent="0.2">
      <c r="A9" s="60" t="s">
        <v>55</v>
      </c>
      <c r="B9" s="59" t="s">
        <v>56</v>
      </c>
      <c r="C9" s="58">
        <v>125340320</v>
      </c>
      <c r="D9" s="65">
        <f>SUM(C7:C9)</f>
        <v>134346570</v>
      </c>
    </row>
    <row r="10" spans="1:4" x14ac:dyDescent="0.2">
      <c r="A10" s="60" t="s">
        <v>57</v>
      </c>
      <c r="B10" s="59" t="s">
        <v>58</v>
      </c>
      <c r="C10" s="58">
        <v>1904661</v>
      </c>
    </row>
    <row r="11" spans="1:4" x14ac:dyDescent="0.2">
      <c r="A11" s="60" t="s">
        <v>59</v>
      </c>
      <c r="B11" s="59" t="s">
        <v>60</v>
      </c>
      <c r="C11" s="58">
        <v>737717</v>
      </c>
    </row>
    <row r="12" spans="1:4" x14ac:dyDescent="0.2">
      <c r="A12" s="60" t="s">
        <v>59</v>
      </c>
      <c r="B12" s="59" t="s">
        <v>60</v>
      </c>
      <c r="C12" s="58">
        <v>738151</v>
      </c>
      <c r="D12" s="65">
        <f>+C12+C11</f>
        <v>1475868</v>
      </c>
    </row>
    <row r="13" spans="1:4" x14ac:dyDescent="0.2">
      <c r="A13" s="60" t="s">
        <v>63</v>
      </c>
      <c r="B13" s="59" t="s">
        <v>96</v>
      </c>
      <c r="C13" s="58">
        <v>1079066</v>
      </c>
    </row>
    <row r="14" spans="1:4" x14ac:dyDescent="0.2">
      <c r="A14" s="60" t="s">
        <v>63</v>
      </c>
      <c r="B14" s="59" t="s">
        <v>96</v>
      </c>
      <c r="C14" s="58">
        <v>3282141</v>
      </c>
    </row>
    <row r="15" spans="1:4" x14ac:dyDescent="0.2">
      <c r="A15" s="60" t="s">
        <v>63</v>
      </c>
      <c r="B15" s="59" t="s">
        <v>96</v>
      </c>
      <c r="C15" s="58">
        <v>1618598</v>
      </c>
    </row>
    <row r="16" spans="1:4" x14ac:dyDescent="0.2">
      <c r="A16" s="60" t="s">
        <v>63</v>
      </c>
      <c r="B16" s="59" t="s">
        <v>96</v>
      </c>
      <c r="C16" s="58">
        <v>1618598</v>
      </c>
    </row>
    <row r="17" spans="1:4" x14ac:dyDescent="0.2">
      <c r="A17" s="60" t="s">
        <v>63</v>
      </c>
      <c r="B17" s="59" t="s">
        <v>96</v>
      </c>
      <c r="C17" s="58">
        <v>1079066</v>
      </c>
    </row>
    <row r="18" spans="1:4" x14ac:dyDescent="0.2">
      <c r="A18" s="60" t="s">
        <v>63</v>
      </c>
      <c r="B18" s="59" t="s">
        <v>96</v>
      </c>
      <c r="C18" s="58">
        <v>1618598</v>
      </c>
    </row>
    <row r="19" spans="1:4" x14ac:dyDescent="0.2">
      <c r="A19" s="60" t="s">
        <v>63</v>
      </c>
      <c r="B19" s="59" t="s">
        <v>96</v>
      </c>
      <c r="C19" s="58">
        <v>3312140</v>
      </c>
    </row>
    <row r="20" spans="1:4" x14ac:dyDescent="0.2">
      <c r="A20" s="60" t="s">
        <v>63</v>
      </c>
      <c r="B20" s="59" t="s">
        <v>96</v>
      </c>
      <c r="C20" s="58">
        <v>1079066</v>
      </c>
    </row>
    <row r="21" spans="1:4" x14ac:dyDescent="0.2">
      <c r="A21" s="60" t="s">
        <v>63</v>
      </c>
      <c r="B21" s="59" t="s">
        <v>96</v>
      </c>
      <c r="C21" s="58">
        <v>1611114</v>
      </c>
    </row>
    <row r="22" spans="1:4" x14ac:dyDescent="0.2">
      <c r="A22" s="60" t="s">
        <v>63</v>
      </c>
      <c r="B22" s="59" t="s">
        <v>96</v>
      </c>
      <c r="C22" s="58">
        <v>1079066</v>
      </c>
    </row>
    <row r="23" spans="1:4" x14ac:dyDescent="0.2">
      <c r="A23" s="60" t="s">
        <v>63</v>
      </c>
      <c r="B23" s="59" t="s">
        <v>96</v>
      </c>
      <c r="C23" s="58">
        <v>2208093</v>
      </c>
    </row>
    <row r="24" spans="1:4" x14ac:dyDescent="0.2">
      <c r="A24" s="60" t="s">
        <v>63</v>
      </c>
      <c r="B24" s="59" t="s">
        <v>96</v>
      </c>
      <c r="C24" s="58">
        <v>1618598</v>
      </c>
    </row>
    <row r="25" spans="1:4" x14ac:dyDescent="0.2">
      <c r="A25" s="60" t="s">
        <v>63</v>
      </c>
      <c r="B25" s="59" t="s">
        <v>96</v>
      </c>
      <c r="C25" s="58">
        <v>1079065</v>
      </c>
    </row>
    <row r="26" spans="1:4" x14ac:dyDescent="0.2">
      <c r="A26" s="60" t="s">
        <v>63</v>
      </c>
      <c r="B26" s="59" t="s">
        <v>96</v>
      </c>
      <c r="C26" s="58">
        <v>1079065</v>
      </c>
    </row>
    <row r="27" spans="1:4" x14ac:dyDescent="0.2">
      <c r="A27" s="60" t="s">
        <v>63</v>
      </c>
      <c r="B27" s="59" t="s">
        <v>96</v>
      </c>
      <c r="C27" s="58">
        <v>1079066</v>
      </c>
    </row>
    <row r="28" spans="1:4" x14ac:dyDescent="0.2">
      <c r="A28" s="60" t="s">
        <v>89</v>
      </c>
      <c r="B28" s="59" t="s">
        <v>96</v>
      </c>
      <c r="C28" s="58">
        <v>5212200</v>
      </c>
    </row>
    <row r="29" spans="1:4" x14ac:dyDescent="0.2">
      <c r="A29" s="60" t="s">
        <v>95</v>
      </c>
      <c r="B29" s="59" t="s">
        <v>96</v>
      </c>
      <c r="C29" s="58">
        <v>2439128</v>
      </c>
    </row>
    <row r="30" spans="1:4" x14ac:dyDescent="0.2">
      <c r="A30" s="60" t="s">
        <v>95</v>
      </c>
      <c r="B30" s="59" t="s">
        <v>96</v>
      </c>
      <c r="C30" s="58">
        <v>2439128</v>
      </c>
      <c r="D30" s="65">
        <f>SUM(C13:C30)</f>
        <v>34531796</v>
      </c>
    </row>
    <row r="31" spans="1:4" x14ac:dyDescent="0.2">
      <c r="A31" s="60" t="s">
        <v>101</v>
      </c>
      <c r="B31" s="59" t="s">
        <v>102</v>
      </c>
      <c r="C31" s="58">
        <v>17235250</v>
      </c>
    </row>
    <row r="32" spans="1:4" x14ac:dyDescent="0.2">
      <c r="A32" s="60" t="s">
        <v>101</v>
      </c>
      <c r="B32" s="59" t="s">
        <v>102</v>
      </c>
      <c r="C32" s="58">
        <v>6303370</v>
      </c>
    </row>
    <row r="33" spans="1:3" x14ac:dyDescent="0.2">
      <c r="A33" s="60" t="s">
        <v>101</v>
      </c>
      <c r="B33" s="59" t="s">
        <v>102</v>
      </c>
      <c r="C33" s="58">
        <v>8490000</v>
      </c>
    </row>
    <row r="34" spans="1:3" x14ac:dyDescent="0.2">
      <c r="A34" s="60" t="s">
        <v>103</v>
      </c>
      <c r="B34" s="59" t="s">
        <v>104</v>
      </c>
      <c r="C34" s="58">
        <v>1213949</v>
      </c>
    </row>
    <row r="35" spans="1:3" x14ac:dyDescent="0.2">
      <c r="A35" s="60" t="s">
        <v>105</v>
      </c>
      <c r="B35" s="59" t="s">
        <v>106</v>
      </c>
      <c r="C35" s="58">
        <v>41660259</v>
      </c>
    </row>
    <row r="36" spans="1:3" x14ac:dyDescent="0.2">
      <c r="A36" s="60" t="s">
        <v>105</v>
      </c>
      <c r="B36" s="59" t="s">
        <v>106</v>
      </c>
      <c r="C36" s="58">
        <v>10026492</v>
      </c>
    </row>
    <row r="37" spans="1:3" x14ac:dyDescent="0.2">
      <c r="A37" s="60" t="s">
        <v>107</v>
      </c>
      <c r="B37" s="59" t="s">
        <v>108</v>
      </c>
      <c r="C37" s="58">
        <v>13538834</v>
      </c>
    </row>
    <row r="38" spans="1:3" x14ac:dyDescent="0.2">
      <c r="A38" s="60" t="s">
        <v>107</v>
      </c>
      <c r="B38" s="59" t="s">
        <v>108</v>
      </c>
      <c r="C38" s="58">
        <v>2204293</v>
      </c>
    </row>
    <row r="39" spans="1:3" x14ac:dyDescent="0.2">
      <c r="A39" s="60" t="s">
        <v>147</v>
      </c>
      <c r="B39" s="59" t="s">
        <v>148</v>
      </c>
      <c r="C39" s="58">
        <v>7372000</v>
      </c>
    </row>
    <row r="40" spans="1:3" x14ac:dyDescent="0.2">
      <c r="A40" s="60" t="s">
        <v>155</v>
      </c>
      <c r="B40" s="59" t="s">
        <v>156</v>
      </c>
      <c r="C40" s="58">
        <v>5487342</v>
      </c>
    </row>
    <row r="41" spans="1:3" x14ac:dyDescent="0.2">
      <c r="A41" s="56">
        <v>32109</v>
      </c>
      <c r="B41" s="57" t="s">
        <v>158</v>
      </c>
      <c r="C41" s="58">
        <v>240000</v>
      </c>
    </row>
    <row r="42" spans="1:3" x14ac:dyDescent="0.2">
      <c r="A42" s="60" t="s">
        <v>159</v>
      </c>
      <c r="B42" s="59" t="s">
        <v>160</v>
      </c>
      <c r="C42" s="58">
        <v>20000000</v>
      </c>
    </row>
    <row r="43" spans="1:3" x14ac:dyDescent="0.2">
      <c r="A43" s="60" t="s">
        <v>159</v>
      </c>
      <c r="B43" s="59" t="s">
        <v>160</v>
      </c>
      <c r="C43" s="58">
        <v>11975711</v>
      </c>
    </row>
    <row r="44" spans="1:3" x14ac:dyDescent="0.2">
      <c r="A44" s="60" t="s">
        <v>159</v>
      </c>
      <c r="B44" s="59" t="s">
        <v>160</v>
      </c>
      <c r="C44" s="58">
        <v>54444444</v>
      </c>
    </row>
    <row r="45" spans="1:3" x14ac:dyDescent="0.2">
      <c r="A45" s="60" t="s">
        <v>163</v>
      </c>
      <c r="B45" s="59" t="s">
        <v>164</v>
      </c>
      <c r="C45" s="58">
        <f>4420000+7310000</f>
        <v>11730000</v>
      </c>
    </row>
    <row r="46" spans="1:3" x14ac:dyDescent="0.2">
      <c r="A46" s="60" t="s">
        <v>169</v>
      </c>
      <c r="B46" s="59" t="s">
        <v>170</v>
      </c>
      <c r="C46" s="58">
        <v>1126597</v>
      </c>
    </row>
    <row r="47" spans="1:3" x14ac:dyDescent="0.2">
      <c r="A47" s="60" t="s">
        <v>169</v>
      </c>
      <c r="B47" s="59" t="s">
        <v>170</v>
      </c>
      <c r="C47" s="58">
        <v>5665440</v>
      </c>
    </row>
    <row r="48" spans="1:3" x14ac:dyDescent="0.2">
      <c r="A48" s="60" t="s">
        <v>169</v>
      </c>
      <c r="B48" s="59" t="s">
        <v>170</v>
      </c>
      <c r="C48" s="58">
        <v>1886423</v>
      </c>
    </row>
    <row r="49" spans="1:3" x14ac:dyDescent="0.2">
      <c r="A49" s="60" t="s">
        <v>169</v>
      </c>
      <c r="B49" s="59" t="s">
        <v>170</v>
      </c>
      <c r="C49" s="58">
        <v>3272769</v>
      </c>
    </row>
    <row r="50" spans="1:3" x14ac:dyDescent="0.2">
      <c r="A50" s="60" t="s">
        <v>169</v>
      </c>
      <c r="B50" s="59" t="s">
        <v>170</v>
      </c>
      <c r="C50" s="58">
        <v>4963566</v>
      </c>
    </row>
    <row r="51" spans="1:3" x14ac:dyDescent="0.2">
      <c r="A51" s="60" t="s">
        <v>169</v>
      </c>
      <c r="B51" s="59" t="s">
        <v>170</v>
      </c>
      <c r="C51" s="58">
        <v>6010257</v>
      </c>
    </row>
    <row r="52" spans="1:3" x14ac:dyDescent="0.2">
      <c r="A52" s="60" t="s">
        <v>169</v>
      </c>
      <c r="B52" s="59" t="s">
        <v>170</v>
      </c>
      <c r="C52" s="58">
        <v>1126597</v>
      </c>
    </row>
    <row r="53" spans="1:3" ht="24" x14ac:dyDescent="0.2">
      <c r="A53" s="56">
        <v>3219106</v>
      </c>
      <c r="B53" s="59" t="s">
        <v>810</v>
      </c>
      <c r="C53" s="58">
        <v>11880000</v>
      </c>
    </row>
    <row r="54" spans="1:3" ht="24" x14ac:dyDescent="0.2">
      <c r="A54" s="56">
        <v>3219106</v>
      </c>
      <c r="B54" s="59" t="s">
        <v>810</v>
      </c>
      <c r="C54" s="58">
        <v>15000000</v>
      </c>
    </row>
    <row r="55" spans="1:3" ht="24" x14ac:dyDescent="0.2">
      <c r="A55" s="60" t="s">
        <v>181</v>
      </c>
      <c r="B55" s="59" t="s">
        <v>182</v>
      </c>
      <c r="C55" s="58">
        <v>2000000</v>
      </c>
    </row>
    <row r="56" spans="1:3" ht="24" x14ac:dyDescent="0.2">
      <c r="A56" s="60" t="s">
        <v>181</v>
      </c>
      <c r="B56" s="59" t="s">
        <v>182</v>
      </c>
      <c r="C56" s="58">
        <v>3098430</v>
      </c>
    </row>
    <row r="57" spans="1:3" ht="24" x14ac:dyDescent="0.2">
      <c r="A57" s="60" t="s">
        <v>181</v>
      </c>
      <c r="B57" s="59" t="s">
        <v>182</v>
      </c>
      <c r="C57" s="58">
        <v>709000</v>
      </c>
    </row>
    <row r="58" spans="1:3" ht="24" x14ac:dyDescent="0.2">
      <c r="A58" s="60" t="s">
        <v>181</v>
      </c>
      <c r="B58" s="59" t="s">
        <v>182</v>
      </c>
      <c r="C58" s="58">
        <v>4000000</v>
      </c>
    </row>
    <row r="59" spans="1:3" ht="24" x14ac:dyDescent="0.2">
      <c r="A59" s="60" t="s">
        <v>181</v>
      </c>
      <c r="B59" s="59" t="s">
        <v>182</v>
      </c>
      <c r="C59" s="58">
        <v>1832315</v>
      </c>
    </row>
    <row r="60" spans="1:3" x14ac:dyDescent="0.2">
      <c r="A60" s="60" t="s">
        <v>189</v>
      </c>
      <c r="B60" s="59" t="s">
        <v>190</v>
      </c>
      <c r="C60" s="58">
        <v>866720</v>
      </c>
    </row>
    <row r="61" spans="1:3" x14ac:dyDescent="0.2">
      <c r="A61" s="60" t="s">
        <v>189</v>
      </c>
      <c r="B61" s="59" t="s">
        <v>190</v>
      </c>
      <c r="C61" s="58">
        <v>3000000</v>
      </c>
    </row>
    <row r="62" spans="1:3" x14ac:dyDescent="0.2">
      <c r="A62" s="60" t="s">
        <v>189</v>
      </c>
      <c r="B62" s="59" t="s">
        <v>190</v>
      </c>
      <c r="C62" s="58">
        <v>4767401</v>
      </c>
    </row>
    <row r="63" spans="1:3" x14ac:dyDescent="0.2">
      <c r="A63" s="60" t="s">
        <v>189</v>
      </c>
      <c r="B63" s="59" t="s">
        <v>190</v>
      </c>
      <c r="C63" s="58">
        <v>12000000</v>
      </c>
    </row>
    <row r="64" spans="1:3" x14ac:dyDescent="0.2">
      <c r="A64" s="60" t="s">
        <v>214</v>
      </c>
      <c r="B64" s="59" t="s">
        <v>215</v>
      </c>
      <c r="C64" s="58">
        <v>1838550</v>
      </c>
    </row>
    <row r="65" spans="1:3" ht="24" x14ac:dyDescent="0.2">
      <c r="A65" s="60" t="s">
        <v>287</v>
      </c>
      <c r="B65" s="59" t="s">
        <v>288</v>
      </c>
      <c r="C65" s="58">
        <v>6190600</v>
      </c>
    </row>
    <row r="66" spans="1:3" ht="24" x14ac:dyDescent="0.2">
      <c r="A66" s="60" t="s">
        <v>287</v>
      </c>
      <c r="B66" s="59" t="s">
        <v>288</v>
      </c>
      <c r="C66" s="58">
        <v>13201890</v>
      </c>
    </row>
    <row r="67" spans="1:3" ht="24" x14ac:dyDescent="0.2">
      <c r="A67" s="60" t="s">
        <v>287</v>
      </c>
      <c r="B67" s="59" t="s">
        <v>288</v>
      </c>
      <c r="C67" s="58">
        <v>4110400</v>
      </c>
    </row>
    <row r="68" spans="1:3" ht="24" x14ac:dyDescent="0.2">
      <c r="A68" s="60" t="s">
        <v>287</v>
      </c>
      <c r="B68" s="59" t="s">
        <v>288</v>
      </c>
      <c r="C68" s="58">
        <v>13075000</v>
      </c>
    </row>
    <row r="69" spans="1:3" x14ac:dyDescent="0.2">
      <c r="A69" s="60" t="s">
        <v>289</v>
      </c>
      <c r="B69" s="59" t="s">
        <v>290</v>
      </c>
      <c r="C69" s="58">
        <v>42840000</v>
      </c>
    </row>
    <row r="70" spans="1:3" x14ac:dyDescent="0.2">
      <c r="A70" s="60" t="s">
        <v>289</v>
      </c>
      <c r="B70" s="59" t="s">
        <v>290</v>
      </c>
      <c r="C70" s="58">
        <v>3000000</v>
      </c>
    </row>
    <row r="71" spans="1:3" x14ac:dyDescent="0.2">
      <c r="A71" s="60" t="s">
        <v>289</v>
      </c>
      <c r="B71" s="59" t="s">
        <v>290</v>
      </c>
      <c r="C71" s="58">
        <v>653310</v>
      </c>
    </row>
    <row r="72" spans="1:3" x14ac:dyDescent="0.2">
      <c r="A72" s="60" t="s">
        <v>289</v>
      </c>
      <c r="B72" s="59" t="s">
        <v>290</v>
      </c>
      <c r="C72" s="58">
        <v>2000000</v>
      </c>
    </row>
    <row r="73" spans="1:3" ht="24" x14ac:dyDescent="0.2">
      <c r="A73" s="60" t="s">
        <v>335</v>
      </c>
      <c r="B73" s="59" t="s">
        <v>336</v>
      </c>
      <c r="C73" s="58">
        <v>2946667</v>
      </c>
    </row>
    <row r="74" spans="1:3" ht="24" x14ac:dyDescent="0.2">
      <c r="A74" s="60" t="s">
        <v>335</v>
      </c>
      <c r="B74" s="59" t="s">
        <v>336</v>
      </c>
      <c r="C74" s="58">
        <v>2938000</v>
      </c>
    </row>
    <row r="75" spans="1:3" ht="24" x14ac:dyDescent="0.2">
      <c r="A75" s="60" t="s">
        <v>335</v>
      </c>
      <c r="B75" s="59" t="s">
        <v>336</v>
      </c>
      <c r="C75" s="58">
        <v>2720000</v>
      </c>
    </row>
    <row r="76" spans="1:3" ht="24" x14ac:dyDescent="0.2">
      <c r="A76" s="60" t="s">
        <v>335</v>
      </c>
      <c r="B76" s="59" t="s">
        <v>336</v>
      </c>
      <c r="C76" s="58">
        <v>224910</v>
      </c>
    </row>
    <row r="77" spans="1:3" ht="24" x14ac:dyDescent="0.2">
      <c r="A77" s="60" t="s">
        <v>335</v>
      </c>
      <c r="B77" s="59" t="s">
        <v>336</v>
      </c>
      <c r="C77" s="58">
        <v>2300000</v>
      </c>
    </row>
    <row r="78" spans="1:3" ht="24" x14ac:dyDescent="0.2">
      <c r="A78" s="60" t="s">
        <v>335</v>
      </c>
      <c r="B78" s="59" t="s">
        <v>336</v>
      </c>
      <c r="C78" s="58">
        <v>3867500</v>
      </c>
    </row>
    <row r="79" spans="1:3" ht="24" x14ac:dyDescent="0.2">
      <c r="A79" s="60" t="s">
        <v>335</v>
      </c>
      <c r="B79" s="59" t="s">
        <v>336</v>
      </c>
      <c r="C79" s="58">
        <v>1543930</v>
      </c>
    </row>
    <row r="80" spans="1:3" ht="24" x14ac:dyDescent="0.2">
      <c r="A80" s="60" t="s">
        <v>335</v>
      </c>
      <c r="B80" s="59" t="s">
        <v>336</v>
      </c>
      <c r="C80" s="58">
        <v>1672091</v>
      </c>
    </row>
    <row r="81" spans="1:3" ht="24" x14ac:dyDescent="0.2">
      <c r="A81" s="60" t="s">
        <v>335</v>
      </c>
      <c r="B81" s="59" t="s">
        <v>336</v>
      </c>
      <c r="C81" s="58">
        <v>1526259</v>
      </c>
    </row>
    <row r="82" spans="1:3" ht="24" x14ac:dyDescent="0.2">
      <c r="A82" s="60" t="s">
        <v>335</v>
      </c>
      <c r="B82" s="59" t="s">
        <v>336</v>
      </c>
      <c r="C82" s="58">
        <v>1125000</v>
      </c>
    </row>
    <row r="83" spans="1:3" ht="24" x14ac:dyDescent="0.2">
      <c r="A83" s="60" t="s">
        <v>335</v>
      </c>
      <c r="B83" s="59" t="s">
        <v>336</v>
      </c>
      <c r="C83" s="58">
        <v>495873</v>
      </c>
    </row>
    <row r="84" spans="1:3" ht="24" x14ac:dyDescent="0.2">
      <c r="A84" s="60" t="s">
        <v>335</v>
      </c>
      <c r="B84" s="59" t="s">
        <v>336</v>
      </c>
      <c r="C84" s="58">
        <v>2050000</v>
      </c>
    </row>
    <row r="85" spans="1:3" ht="24" x14ac:dyDescent="0.2">
      <c r="A85" s="60" t="s">
        <v>335</v>
      </c>
      <c r="B85" s="59" t="s">
        <v>336</v>
      </c>
      <c r="C85" s="58">
        <v>1220000</v>
      </c>
    </row>
    <row r="86" spans="1:3" ht="24" x14ac:dyDescent="0.2">
      <c r="A86" s="60" t="s">
        <v>335</v>
      </c>
      <c r="B86" s="59" t="s">
        <v>336</v>
      </c>
      <c r="C86" s="58">
        <v>3213000</v>
      </c>
    </row>
    <row r="87" spans="1:3" ht="24" x14ac:dyDescent="0.2">
      <c r="A87" s="60" t="s">
        <v>335</v>
      </c>
      <c r="B87" s="59" t="s">
        <v>336</v>
      </c>
      <c r="C87" s="58">
        <v>713979</v>
      </c>
    </row>
    <row r="88" spans="1:3" ht="24" x14ac:dyDescent="0.2">
      <c r="A88" s="60" t="s">
        <v>335</v>
      </c>
      <c r="B88" s="59" t="s">
        <v>336</v>
      </c>
      <c r="C88" s="58">
        <v>4350000</v>
      </c>
    </row>
    <row r="89" spans="1:3" ht="24" x14ac:dyDescent="0.2">
      <c r="A89" s="60" t="s">
        <v>335</v>
      </c>
      <c r="B89" s="59" t="s">
        <v>336</v>
      </c>
      <c r="C89" s="58">
        <v>1509998</v>
      </c>
    </row>
    <row r="90" spans="1:3" ht="24" x14ac:dyDescent="0.2">
      <c r="A90" s="60" t="s">
        <v>335</v>
      </c>
      <c r="B90" s="59" t="s">
        <v>336</v>
      </c>
      <c r="C90" s="58">
        <v>595000</v>
      </c>
    </row>
    <row r="91" spans="1:3" ht="24" x14ac:dyDescent="0.2">
      <c r="A91" s="60" t="s">
        <v>335</v>
      </c>
      <c r="B91" s="59" t="s">
        <v>336</v>
      </c>
      <c r="C91" s="58">
        <v>399840</v>
      </c>
    </row>
    <row r="92" spans="1:3" ht="24" x14ac:dyDescent="0.2">
      <c r="A92" s="60" t="s">
        <v>335</v>
      </c>
      <c r="B92" s="59" t="s">
        <v>336</v>
      </c>
      <c r="C92" s="58">
        <v>1098370</v>
      </c>
    </row>
    <row r="93" spans="1:3" ht="24" x14ac:dyDescent="0.2">
      <c r="A93" s="60" t="s">
        <v>335</v>
      </c>
      <c r="B93" s="59" t="s">
        <v>336</v>
      </c>
      <c r="C93" s="58">
        <v>1430156</v>
      </c>
    </row>
    <row r="94" spans="1:3" ht="24" x14ac:dyDescent="0.2">
      <c r="A94" s="60" t="s">
        <v>335</v>
      </c>
      <c r="B94" s="59" t="s">
        <v>336</v>
      </c>
      <c r="C94" s="58">
        <v>1956000</v>
      </c>
    </row>
    <row r="95" spans="1:3" ht="24" x14ac:dyDescent="0.2">
      <c r="A95" s="60" t="s">
        <v>335</v>
      </c>
      <c r="B95" s="59" t="s">
        <v>336</v>
      </c>
      <c r="C95" s="58">
        <v>143141</v>
      </c>
    </row>
    <row r="96" spans="1:3" ht="24" x14ac:dyDescent="0.2">
      <c r="A96" s="60" t="s">
        <v>335</v>
      </c>
      <c r="B96" s="59" t="s">
        <v>336</v>
      </c>
      <c r="C96" s="58">
        <v>3264614</v>
      </c>
    </row>
    <row r="97" spans="1:3" ht="24" x14ac:dyDescent="0.2">
      <c r="A97" s="60" t="s">
        <v>335</v>
      </c>
      <c r="B97" s="59" t="s">
        <v>336</v>
      </c>
      <c r="C97" s="58">
        <v>1799000</v>
      </c>
    </row>
    <row r="98" spans="1:3" ht="24" x14ac:dyDescent="0.2">
      <c r="A98" s="60" t="s">
        <v>345</v>
      </c>
      <c r="B98" s="59" t="s">
        <v>346</v>
      </c>
      <c r="C98" s="58">
        <v>17948000</v>
      </c>
    </row>
    <row r="99" spans="1:3" ht="36" x14ac:dyDescent="0.2">
      <c r="A99" s="60" t="s">
        <v>347</v>
      </c>
      <c r="B99" s="59" t="s">
        <v>348</v>
      </c>
      <c r="C99" s="58">
        <v>14576383</v>
      </c>
    </row>
    <row r="100" spans="1:3" ht="24" x14ac:dyDescent="0.2">
      <c r="A100" s="60" t="s">
        <v>349</v>
      </c>
      <c r="B100" s="59" t="s">
        <v>350</v>
      </c>
      <c r="C100" s="58">
        <v>4621593</v>
      </c>
    </row>
    <row r="101" spans="1:3" x14ac:dyDescent="0.2">
      <c r="A101" s="60" t="s">
        <v>351</v>
      </c>
      <c r="B101" s="59" t="s">
        <v>352</v>
      </c>
      <c r="C101" s="58">
        <v>478379</v>
      </c>
    </row>
    <row r="102" spans="1:3" x14ac:dyDescent="0.2">
      <c r="A102" s="60" t="s">
        <v>353</v>
      </c>
      <c r="B102" s="59" t="s">
        <v>354</v>
      </c>
      <c r="C102" s="58">
        <v>59237</v>
      </c>
    </row>
    <row r="103" spans="1:3" x14ac:dyDescent="0.2">
      <c r="A103" s="60" t="s">
        <v>362</v>
      </c>
      <c r="B103" s="59" t="s">
        <v>334</v>
      </c>
      <c r="C103" s="58">
        <v>3158515</v>
      </c>
    </row>
    <row r="104" spans="1:3" x14ac:dyDescent="0.2">
      <c r="A104" s="60" t="s">
        <v>362</v>
      </c>
      <c r="B104" s="59" t="s">
        <v>334</v>
      </c>
      <c r="C104" s="58">
        <v>298020</v>
      </c>
    </row>
    <row r="105" spans="1:3" x14ac:dyDescent="0.2">
      <c r="A105" s="60" t="s">
        <v>362</v>
      </c>
      <c r="B105" s="59" t="s">
        <v>334</v>
      </c>
      <c r="C105" s="58">
        <v>11733398</v>
      </c>
    </row>
    <row r="106" spans="1:3" x14ac:dyDescent="0.2">
      <c r="A106" s="60" t="s">
        <v>366</v>
      </c>
      <c r="B106" s="59" t="s">
        <v>354</v>
      </c>
      <c r="C106" s="58">
        <v>11078900</v>
      </c>
    </row>
    <row r="107" spans="1:3" x14ac:dyDescent="0.2">
      <c r="A107" s="60" t="s">
        <v>366</v>
      </c>
      <c r="B107" s="59" t="s">
        <v>354</v>
      </c>
      <c r="C107" s="58">
        <v>4211294</v>
      </c>
    </row>
    <row r="108" spans="1:3" x14ac:dyDescent="0.2">
      <c r="A108" s="60" t="s">
        <v>367</v>
      </c>
      <c r="B108" s="59" t="s">
        <v>368</v>
      </c>
      <c r="C108" s="58">
        <v>5117000</v>
      </c>
    </row>
    <row r="109" spans="1:3" x14ac:dyDescent="0.2">
      <c r="A109" s="60" t="s">
        <v>367</v>
      </c>
      <c r="B109" s="59" t="s">
        <v>368</v>
      </c>
      <c r="C109" s="58">
        <v>321300</v>
      </c>
    </row>
    <row r="110" spans="1:3" x14ac:dyDescent="0.2">
      <c r="A110" s="60" t="s">
        <v>367</v>
      </c>
      <c r="B110" s="59" t="s">
        <v>368</v>
      </c>
      <c r="C110" s="58">
        <v>479046</v>
      </c>
    </row>
    <row r="111" spans="1:3" x14ac:dyDescent="0.2">
      <c r="A111" s="60" t="s">
        <v>367</v>
      </c>
      <c r="B111" s="59" t="s">
        <v>368</v>
      </c>
      <c r="C111" s="58">
        <v>2596209</v>
      </c>
    </row>
    <row r="112" spans="1:3" x14ac:dyDescent="0.2">
      <c r="A112" s="60" t="s">
        <v>367</v>
      </c>
      <c r="B112" s="59" t="s">
        <v>368</v>
      </c>
      <c r="C112" s="58">
        <v>1371299</v>
      </c>
    </row>
    <row r="113" spans="1:3" x14ac:dyDescent="0.2">
      <c r="A113" s="60" t="s">
        <v>367</v>
      </c>
      <c r="B113" s="59" t="s">
        <v>368</v>
      </c>
      <c r="C113" s="58">
        <v>4631697</v>
      </c>
    </row>
    <row r="114" spans="1:3" x14ac:dyDescent="0.2">
      <c r="A114" s="60" t="s">
        <v>367</v>
      </c>
      <c r="B114" s="59" t="s">
        <v>368</v>
      </c>
      <c r="C114" s="58">
        <v>3246201</v>
      </c>
    </row>
    <row r="115" spans="1:3" x14ac:dyDescent="0.2">
      <c r="A115" s="60" t="s">
        <v>367</v>
      </c>
      <c r="B115" s="59" t="s">
        <v>368</v>
      </c>
      <c r="C115" s="58">
        <v>1415080</v>
      </c>
    </row>
    <row r="116" spans="1:3" x14ac:dyDescent="0.2">
      <c r="A116" s="60" t="s">
        <v>367</v>
      </c>
      <c r="B116" s="59" t="s">
        <v>368</v>
      </c>
      <c r="C116" s="58">
        <v>3393880</v>
      </c>
    </row>
    <row r="117" spans="1:3" x14ac:dyDescent="0.2">
      <c r="A117" s="60" t="s">
        <v>367</v>
      </c>
      <c r="B117" s="59" t="s">
        <v>368</v>
      </c>
      <c r="C117" s="58">
        <v>1116458</v>
      </c>
    </row>
    <row r="118" spans="1:3" x14ac:dyDescent="0.2">
      <c r="A118" s="60" t="s">
        <v>367</v>
      </c>
      <c r="B118" s="59" t="s">
        <v>368</v>
      </c>
      <c r="C118" s="58">
        <v>6617706</v>
      </c>
    </row>
    <row r="119" spans="1:3" x14ac:dyDescent="0.2">
      <c r="A119" s="60" t="s">
        <v>367</v>
      </c>
      <c r="B119" s="59" t="s">
        <v>368</v>
      </c>
      <c r="C119" s="58">
        <v>680680</v>
      </c>
    </row>
    <row r="120" spans="1:3" x14ac:dyDescent="0.2">
      <c r="A120" s="60" t="s">
        <v>370</v>
      </c>
      <c r="B120" s="59" t="s">
        <v>371</v>
      </c>
      <c r="C120" s="58">
        <v>3375478.25</v>
      </c>
    </row>
    <row r="121" spans="1:3" x14ac:dyDescent="0.2">
      <c r="A121" s="60" t="s">
        <v>370</v>
      </c>
      <c r="B121" s="59" t="s">
        <v>371</v>
      </c>
      <c r="C121" s="58">
        <v>631143</v>
      </c>
    </row>
    <row r="122" spans="1:3" x14ac:dyDescent="0.2">
      <c r="A122" s="60" t="s">
        <v>372</v>
      </c>
      <c r="B122" s="59" t="s">
        <v>373</v>
      </c>
      <c r="C122" s="58">
        <v>2316850</v>
      </c>
    </row>
    <row r="123" spans="1:3" x14ac:dyDescent="0.2">
      <c r="A123" s="60" t="s">
        <v>382</v>
      </c>
      <c r="B123" s="59" t="s">
        <v>354</v>
      </c>
      <c r="C123" s="58">
        <v>11457549.630000001</v>
      </c>
    </row>
    <row r="124" spans="1:3" x14ac:dyDescent="0.2">
      <c r="A124" s="60" t="s">
        <v>382</v>
      </c>
      <c r="B124" s="59" t="s">
        <v>354</v>
      </c>
      <c r="C124" s="58">
        <v>225267</v>
      </c>
    </row>
    <row r="125" spans="1:3" x14ac:dyDescent="0.2">
      <c r="A125" s="60" t="s">
        <v>384</v>
      </c>
      <c r="B125" s="59" t="s">
        <v>334</v>
      </c>
      <c r="C125" s="58">
        <v>3078914</v>
      </c>
    </row>
    <row r="126" spans="1:3" x14ac:dyDescent="0.2">
      <c r="A126" s="60" t="s">
        <v>384</v>
      </c>
      <c r="B126" s="59" t="s">
        <v>334</v>
      </c>
      <c r="C126" s="58">
        <v>324509.12</v>
      </c>
    </row>
    <row r="127" spans="1:3" x14ac:dyDescent="0.2">
      <c r="A127" s="60" t="s">
        <v>384</v>
      </c>
      <c r="B127" s="59" t="s">
        <v>334</v>
      </c>
      <c r="C127" s="58">
        <v>2750000</v>
      </c>
    </row>
    <row r="128" spans="1:3" x14ac:dyDescent="0.2">
      <c r="A128" s="60" t="s">
        <v>384</v>
      </c>
      <c r="B128" s="59" t="s">
        <v>334</v>
      </c>
      <c r="C128" s="58">
        <v>3518759</v>
      </c>
    </row>
    <row r="129" spans="1:3" x14ac:dyDescent="0.2">
      <c r="A129" s="60" t="s">
        <v>384</v>
      </c>
      <c r="B129" s="59" t="s">
        <v>334</v>
      </c>
      <c r="C129" s="58">
        <v>2199225</v>
      </c>
    </row>
    <row r="130" spans="1:3" x14ac:dyDescent="0.2">
      <c r="A130" s="60" t="s">
        <v>384</v>
      </c>
      <c r="B130" s="59" t="s">
        <v>334</v>
      </c>
      <c r="C130" s="58">
        <v>8796898</v>
      </c>
    </row>
    <row r="131" spans="1:3" x14ac:dyDescent="0.2">
      <c r="A131" s="60" t="s">
        <v>384</v>
      </c>
      <c r="B131" s="59" t="s">
        <v>334</v>
      </c>
      <c r="C131" s="58">
        <v>4000000</v>
      </c>
    </row>
    <row r="132" spans="1:3" x14ac:dyDescent="0.2">
      <c r="A132" s="60" t="s">
        <v>384</v>
      </c>
      <c r="B132" s="59" t="s">
        <v>334</v>
      </c>
      <c r="C132" s="58">
        <v>8003600</v>
      </c>
    </row>
    <row r="133" spans="1:3" x14ac:dyDescent="0.2">
      <c r="A133" s="60" t="s">
        <v>384</v>
      </c>
      <c r="B133" s="59" t="s">
        <v>334</v>
      </c>
      <c r="C133" s="58">
        <v>8796898</v>
      </c>
    </row>
    <row r="134" spans="1:3" x14ac:dyDescent="0.2">
      <c r="A134" s="60" t="s">
        <v>384</v>
      </c>
      <c r="B134" s="59" t="s">
        <v>334</v>
      </c>
      <c r="C134" s="58">
        <v>2750000</v>
      </c>
    </row>
    <row r="135" spans="1:3" x14ac:dyDescent="0.2">
      <c r="A135" s="60" t="s">
        <v>384</v>
      </c>
      <c r="B135" s="59" t="s">
        <v>334</v>
      </c>
      <c r="C135" s="58">
        <v>45368775</v>
      </c>
    </row>
    <row r="136" spans="1:3" x14ac:dyDescent="0.2">
      <c r="A136" s="60" t="s">
        <v>384</v>
      </c>
      <c r="B136" s="59" t="s">
        <v>334</v>
      </c>
      <c r="C136" s="58">
        <v>13479712</v>
      </c>
    </row>
    <row r="137" spans="1:3" x14ac:dyDescent="0.2">
      <c r="A137" s="60" t="s">
        <v>384</v>
      </c>
      <c r="B137" s="59" t="s">
        <v>334</v>
      </c>
      <c r="C137" s="58">
        <v>69172795</v>
      </c>
    </row>
    <row r="138" spans="1:3" ht="24" x14ac:dyDescent="0.2">
      <c r="A138" s="60" t="s">
        <v>403</v>
      </c>
      <c r="B138" s="59" t="s">
        <v>404</v>
      </c>
      <c r="C138" s="58">
        <v>72114000</v>
      </c>
    </row>
    <row r="139" spans="1:3" ht="24" x14ac:dyDescent="0.2">
      <c r="A139" s="60" t="s">
        <v>403</v>
      </c>
      <c r="B139" s="59" t="s">
        <v>404</v>
      </c>
      <c r="C139" s="58">
        <v>54632866</v>
      </c>
    </row>
    <row r="140" spans="1:3" ht="24" x14ac:dyDescent="0.2">
      <c r="A140" s="60" t="s">
        <v>406</v>
      </c>
      <c r="B140" s="59" t="s">
        <v>407</v>
      </c>
      <c r="C140" s="58">
        <v>479434</v>
      </c>
    </row>
    <row r="141" spans="1:3" ht="24" x14ac:dyDescent="0.2">
      <c r="A141" s="60" t="s">
        <v>406</v>
      </c>
      <c r="B141" s="59" t="s">
        <v>407</v>
      </c>
      <c r="C141" s="58">
        <v>1692000</v>
      </c>
    </row>
    <row r="142" spans="1:3" ht="24" x14ac:dyDescent="0.2">
      <c r="A142" s="60" t="s">
        <v>406</v>
      </c>
      <c r="B142" s="59" t="s">
        <v>407</v>
      </c>
      <c r="C142" s="58">
        <v>1538750</v>
      </c>
    </row>
    <row r="143" spans="1:3" ht="36" x14ac:dyDescent="0.2">
      <c r="A143" s="60" t="s">
        <v>412</v>
      </c>
      <c r="B143" s="59" t="s">
        <v>413</v>
      </c>
      <c r="C143" s="58">
        <v>737717</v>
      </c>
    </row>
    <row r="144" spans="1:3" ht="36" x14ac:dyDescent="0.2">
      <c r="A144" s="60" t="s">
        <v>412</v>
      </c>
      <c r="B144" s="59" t="s">
        <v>413</v>
      </c>
      <c r="C144" s="58">
        <v>1834292.5</v>
      </c>
    </row>
    <row r="145" spans="1:3" ht="36" x14ac:dyDescent="0.2">
      <c r="A145" s="60" t="s">
        <v>412</v>
      </c>
      <c r="B145" s="59" t="s">
        <v>413</v>
      </c>
      <c r="C145" s="58">
        <v>6000000</v>
      </c>
    </row>
    <row r="146" spans="1:3" ht="24" x14ac:dyDescent="0.2">
      <c r="A146" s="60" t="s">
        <v>414</v>
      </c>
      <c r="B146" s="59" t="s">
        <v>415</v>
      </c>
      <c r="C146" s="58">
        <v>619970</v>
      </c>
    </row>
    <row r="147" spans="1:3" ht="24" x14ac:dyDescent="0.2">
      <c r="A147" s="60" t="s">
        <v>424</v>
      </c>
      <c r="B147" s="59" t="s">
        <v>425</v>
      </c>
      <c r="C147" s="58">
        <v>16233600</v>
      </c>
    </row>
    <row r="148" spans="1:3" ht="24" x14ac:dyDescent="0.2">
      <c r="A148" s="60" t="s">
        <v>444</v>
      </c>
      <c r="B148" s="59" t="s">
        <v>445</v>
      </c>
      <c r="C148" s="58">
        <v>606500</v>
      </c>
    </row>
    <row r="149" spans="1:3" ht="36" x14ac:dyDescent="0.2">
      <c r="A149" s="60" t="s">
        <v>456</v>
      </c>
      <c r="B149" s="59" t="s">
        <v>457</v>
      </c>
      <c r="C149" s="58">
        <v>2307494</v>
      </c>
    </row>
    <row r="150" spans="1:3" ht="36" x14ac:dyDescent="0.2">
      <c r="A150" s="60" t="s">
        <v>456</v>
      </c>
      <c r="B150" s="59" t="s">
        <v>457</v>
      </c>
      <c r="C150" s="58">
        <v>4407927</v>
      </c>
    </row>
    <row r="151" spans="1:3" ht="36" x14ac:dyDescent="0.2">
      <c r="A151" s="60" t="s">
        <v>456</v>
      </c>
      <c r="B151" s="59" t="s">
        <v>457</v>
      </c>
      <c r="C151" s="58">
        <v>3942922</v>
      </c>
    </row>
    <row r="152" spans="1:3" ht="36" x14ac:dyDescent="0.2">
      <c r="A152" s="60" t="s">
        <v>456</v>
      </c>
      <c r="B152" s="59" t="s">
        <v>457</v>
      </c>
      <c r="C152" s="58">
        <v>17317372</v>
      </c>
    </row>
    <row r="153" spans="1:3" ht="36" x14ac:dyDescent="0.2">
      <c r="A153" s="60" t="s">
        <v>456</v>
      </c>
      <c r="B153" s="59" t="s">
        <v>457</v>
      </c>
      <c r="C153" s="58">
        <v>10698295</v>
      </c>
    </row>
    <row r="154" spans="1:3" ht="36" x14ac:dyDescent="0.2">
      <c r="A154" s="60" t="s">
        <v>456</v>
      </c>
      <c r="B154" s="59" t="s">
        <v>457</v>
      </c>
      <c r="C154" s="58">
        <v>2998443</v>
      </c>
    </row>
    <row r="155" spans="1:3" ht="36" x14ac:dyDescent="0.2">
      <c r="A155" s="60" t="s">
        <v>456</v>
      </c>
      <c r="B155" s="59" t="s">
        <v>457</v>
      </c>
      <c r="C155" s="58">
        <v>13882454</v>
      </c>
    </row>
    <row r="156" spans="1:3" ht="36" x14ac:dyDescent="0.2">
      <c r="A156" s="60" t="s">
        <v>456</v>
      </c>
      <c r="B156" s="59" t="s">
        <v>457</v>
      </c>
      <c r="C156" s="58">
        <v>12683990</v>
      </c>
    </row>
    <row r="157" spans="1:3" ht="36" x14ac:dyDescent="0.2">
      <c r="A157" s="60" t="s">
        <v>456</v>
      </c>
      <c r="B157" s="59" t="s">
        <v>457</v>
      </c>
      <c r="C157" s="58">
        <v>2653700</v>
      </c>
    </row>
    <row r="158" spans="1:3" ht="24" x14ac:dyDescent="0.2">
      <c r="A158" s="60" t="s">
        <v>458</v>
      </c>
      <c r="B158" s="59" t="s">
        <v>459</v>
      </c>
      <c r="C158" s="58">
        <v>248192321.40000001</v>
      </c>
    </row>
    <row r="159" spans="1:3" ht="36" x14ac:dyDescent="0.2">
      <c r="A159" s="60" t="s">
        <v>464</v>
      </c>
      <c r="B159" s="59" t="s">
        <v>465</v>
      </c>
      <c r="C159" s="58">
        <v>4614000</v>
      </c>
    </row>
    <row r="160" spans="1:3" ht="36" x14ac:dyDescent="0.2">
      <c r="A160" s="60" t="s">
        <v>464</v>
      </c>
      <c r="B160" s="59" t="s">
        <v>465</v>
      </c>
      <c r="C160" s="58">
        <v>3128643</v>
      </c>
    </row>
    <row r="161" spans="1:3" ht="36" x14ac:dyDescent="0.2">
      <c r="A161" s="60" t="s">
        <v>464</v>
      </c>
      <c r="B161" s="59" t="s">
        <v>465</v>
      </c>
      <c r="C161" s="58">
        <v>11999455</v>
      </c>
    </row>
    <row r="162" spans="1:3" ht="36" x14ac:dyDescent="0.2">
      <c r="A162" s="60" t="s">
        <v>464</v>
      </c>
      <c r="B162" s="59" t="s">
        <v>465</v>
      </c>
      <c r="C162" s="58">
        <v>1841392</v>
      </c>
    </row>
    <row r="163" spans="1:3" ht="36" x14ac:dyDescent="0.2">
      <c r="A163" s="60" t="s">
        <v>464</v>
      </c>
      <c r="B163" s="59" t="s">
        <v>465</v>
      </c>
      <c r="C163" s="58">
        <v>3673383</v>
      </c>
    </row>
    <row r="164" spans="1:3" ht="36" x14ac:dyDescent="0.2">
      <c r="A164" s="60" t="s">
        <v>464</v>
      </c>
      <c r="B164" s="59" t="s">
        <v>465</v>
      </c>
      <c r="C164" s="58">
        <v>5000000</v>
      </c>
    </row>
    <row r="165" spans="1:3" ht="36" x14ac:dyDescent="0.2">
      <c r="A165" s="60" t="s">
        <v>464</v>
      </c>
      <c r="B165" s="59" t="s">
        <v>465</v>
      </c>
      <c r="C165" s="58">
        <v>62046600</v>
      </c>
    </row>
    <row r="166" spans="1:3" ht="36" x14ac:dyDescent="0.2">
      <c r="A166" s="60" t="s">
        <v>466</v>
      </c>
      <c r="B166" s="59" t="s">
        <v>467</v>
      </c>
      <c r="C166" s="58">
        <v>27427844</v>
      </c>
    </row>
    <row r="167" spans="1:3" ht="36" x14ac:dyDescent="0.2">
      <c r="A167" s="60" t="s">
        <v>470</v>
      </c>
      <c r="B167" s="59" t="s">
        <v>471</v>
      </c>
      <c r="C167" s="58">
        <v>12306980</v>
      </c>
    </row>
    <row r="168" spans="1:3" ht="36" x14ac:dyDescent="0.2">
      <c r="A168" s="60" t="s">
        <v>474</v>
      </c>
      <c r="B168" s="59" t="s">
        <v>475</v>
      </c>
      <c r="C168" s="58">
        <v>4444163</v>
      </c>
    </row>
    <row r="169" spans="1:3" ht="36" x14ac:dyDescent="0.2">
      <c r="A169" s="60" t="s">
        <v>474</v>
      </c>
      <c r="B169" s="59" t="s">
        <v>475</v>
      </c>
      <c r="C169" s="58">
        <v>40264007</v>
      </c>
    </row>
    <row r="170" spans="1:3" ht="36" x14ac:dyDescent="0.2">
      <c r="A170" s="60" t="s">
        <v>474</v>
      </c>
      <c r="B170" s="59" t="s">
        <v>475</v>
      </c>
      <c r="C170" s="58">
        <v>39984000</v>
      </c>
    </row>
    <row r="171" spans="1:3" ht="36" x14ac:dyDescent="0.2">
      <c r="A171" s="60" t="s">
        <v>476</v>
      </c>
      <c r="B171" s="59" t="s">
        <v>477</v>
      </c>
      <c r="C171" s="58">
        <v>2625000</v>
      </c>
    </row>
    <row r="172" spans="1:3" ht="36" x14ac:dyDescent="0.2">
      <c r="A172" s="60" t="s">
        <v>478</v>
      </c>
      <c r="B172" s="59" t="s">
        <v>479</v>
      </c>
      <c r="C172" s="58">
        <v>4865575</v>
      </c>
    </row>
    <row r="173" spans="1:3" ht="36" x14ac:dyDescent="0.2">
      <c r="A173" s="60" t="s">
        <v>478</v>
      </c>
      <c r="B173" s="59" t="s">
        <v>479</v>
      </c>
      <c r="C173" s="58">
        <v>5958440</v>
      </c>
    </row>
    <row r="174" spans="1:3" ht="36" x14ac:dyDescent="0.2">
      <c r="A174" s="60" t="s">
        <v>482</v>
      </c>
      <c r="B174" s="59" t="s">
        <v>483</v>
      </c>
      <c r="C174" s="58">
        <v>87470950</v>
      </c>
    </row>
    <row r="175" spans="1:3" ht="36" x14ac:dyDescent="0.2">
      <c r="A175" s="60" t="s">
        <v>482</v>
      </c>
      <c r="B175" s="59" t="s">
        <v>483</v>
      </c>
      <c r="C175" s="58">
        <v>1415401138</v>
      </c>
    </row>
    <row r="176" spans="1:3" ht="36" x14ac:dyDescent="0.2">
      <c r="A176" s="60" t="s">
        <v>488</v>
      </c>
      <c r="B176" s="59" t="s">
        <v>811</v>
      </c>
      <c r="C176" s="58">
        <v>79690380.849999994</v>
      </c>
    </row>
    <row r="177" spans="1:3" ht="36" x14ac:dyDescent="0.2">
      <c r="A177" s="60" t="s">
        <v>488</v>
      </c>
      <c r="B177" s="59" t="s">
        <v>811</v>
      </c>
      <c r="C177" s="58">
        <v>16766747</v>
      </c>
    </row>
    <row r="178" spans="1:3" ht="24" x14ac:dyDescent="0.2">
      <c r="A178" s="60" t="s">
        <v>509</v>
      </c>
      <c r="B178" s="59" t="s">
        <v>510</v>
      </c>
      <c r="C178" s="58">
        <v>13398228</v>
      </c>
    </row>
    <row r="179" spans="1:3" ht="24" x14ac:dyDescent="0.2">
      <c r="A179" s="60" t="s">
        <v>515</v>
      </c>
      <c r="B179" s="59" t="s">
        <v>516</v>
      </c>
      <c r="C179" s="58">
        <v>99400046</v>
      </c>
    </row>
    <row r="180" spans="1:3" ht="24" x14ac:dyDescent="0.2">
      <c r="A180" s="60" t="s">
        <v>527</v>
      </c>
      <c r="B180" s="59" t="s">
        <v>528</v>
      </c>
      <c r="C180" s="58">
        <v>29000000</v>
      </c>
    </row>
    <row r="181" spans="1:3" ht="24" x14ac:dyDescent="0.2">
      <c r="A181" s="60" t="s">
        <v>529</v>
      </c>
      <c r="B181" s="59" t="s">
        <v>530</v>
      </c>
      <c r="C181" s="58">
        <v>3500000</v>
      </c>
    </row>
    <row r="182" spans="1:3" ht="48" x14ac:dyDescent="0.2">
      <c r="A182" s="60" t="s">
        <v>533</v>
      </c>
      <c r="B182" s="59" t="s">
        <v>534</v>
      </c>
      <c r="C182" s="58">
        <v>25370000</v>
      </c>
    </row>
    <row r="183" spans="1:3" ht="48" x14ac:dyDescent="0.2">
      <c r="A183" s="60" t="s">
        <v>533</v>
      </c>
      <c r="B183" s="59" t="s">
        <v>534</v>
      </c>
      <c r="C183" s="58">
        <v>6600000</v>
      </c>
    </row>
    <row r="184" spans="1:3" ht="36" x14ac:dyDescent="0.2">
      <c r="A184" s="60" t="s">
        <v>537</v>
      </c>
      <c r="B184" s="59" t="s">
        <v>538</v>
      </c>
      <c r="C184" s="58">
        <v>116995023</v>
      </c>
    </row>
    <row r="185" spans="1:3" ht="36" x14ac:dyDescent="0.2">
      <c r="A185" s="60" t="s">
        <v>541</v>
      </c>
      <c r="B185" s="59" t="s">
        <v>542</v>
      </c>
      <c r="C185" s="58">
        <v>46410000</v>
      </c>
    </row>
    <row r="186" spans="1:3" ht="36" x14ac:dyDescent="0.2">
      <c r="A186" s="60" t="s">
        <v>541</v>
      </c>
      <c r="B186" s="59" t="s">
        <v>542</v>
      </c>
      <c r="C186" s="58">
        <v>101353966</v>
      </c>
    </row>
    <row r="187" spans="1:3" ht="36" x14ac:dyDescent="0.2">
      <c r="A187" s="60" t="s">
        <v>541</v>
      </c>
      <c r="B187" s="59" t="s">
        <v>542</v>
      </c>
      <c r="C187" s="58">
        <v>145973168</v>
      </c>
    </row>
    <row r="188" spans="1:3" ht="24" x14ac:dyDescent="0.2">
      <c r="A188" s="60" t="s">
        <v>590</v>
      </c>
      <c r="B188" s="59" t="s">
        <v>591</v>
      </c>
      <c r="C188" s="58">
        <v>283300</v>
      </c>
    </row>
    <row r="189" spans="1:3" ht="24" x14ac:dyDescent="0.2">
      <c r="A189" s="60" t="s">
        <v>590</v>
      </c>
      <c r="B189" s="59" t="s">
        <v>591</v>
      </c>
      <c r="C189" s="58">
        <v>3837500</v>
      </c>
    </row>
    <row r="190" spans="1:3" ht="24" x14ac:dyDescent="0.2">
      <c r="A190" s="60" t="s">
        <v>590</v>
      </c>
      <c r="B190" s="59" t="s">
        <v>591</v>
      </c>
      <c r="C190" s="58">
        <v>7130077</v>
      </c>
    </row>
    <row r="191" spans="1:3" ht="24" x14ac:dyDescent="0.2">
      <c r="A191" s="60" t="s">
        <v>590</v>
      </c>
      <c r="B191" s="59" t="s">
        <v>591</v>
      </c>
      <c r="C191" s="58">
        <v>415140</v>
      </c>
    </row>
    <row r="192" spans="1:3" ht="24" x14ac:dyDescent="0.2">
      <c r="A192" s="60" t="s">
        <v>590</v>
      </c>
      <c r="B192" s="59" t="s">
        <v>591</v>
      </c>
      <c r="C192" s="58">
        <v>3000095</v>
      </c>
    </row>
    <row r="193" spans="1:3" ht="24" x14ac:dyDescent="0.2">
      <c r="A193" s="60" t="s">
        <v>590</v>
      </c>
      <c r="B193" s="59" t="s">
        <v>591</v>
      </c>
      <c r="C193" s="58">
        <v>438497</v>
      </c>
    </row>
    <row r="194" spans="1:3" ht="24" x14ac:dyDescent="0.2">
      <c r="A194" s="60" t="s">
        <v>590</v>
      </c>
      <c r="B194" s="59" t="s">
        <v>591</v>
      </c>
      <c r="C194" s="58">
        <v>14961019</v>
      </c>
    </row>
    <row r="195" spans="1:3" ht="24" x14ac:dyDescent="0.2">
      <c r="A195" s="60" t="s">
        <v>590</v>
      </c>
      <c r="B195" s="59" t="s">
        <v>591</v>
      </c>
      <c r="C195" s="58">
        <v>8913588</v>
      </c>
    </row>
    <row r="196" spans="1:3" x14ac:dyDescent="0.2">
      <c r="A196" s="60" t="s">
        <v>592</v>
      </c>
      <c r="B196" s="57" t="s">
        <v>593</v>
      </c>
      <c r="C196" s="58">
        <v>1564850</v>
      </c>
    </row>
    <row r="197" spans="1:3" x14ac:dyDescent="0.2">
      <c r="A197" s="60" t="s">
        <v>592</v>
      </c>
      <c r="B197" s="57" t="s">
        <v>593</v>
      </c>
      <c r="C197" s="58">
        <v>11119001</v>
      </c>
    </row>
    <row r="198" spans="1:3" ht="24" x14ac:dyDescent="0.2">
      <c r="A198" s="56">
        <f>+'[1]CONV-INVESTIGACIONES'!G2</f>
        <v>60101</v>
      </c>
      <c r="B198" s="61" t="s">
        <v>550</v>
      </c>
      <c r="C198" s="58">
        <f>+'[1]CONV-INVESTIGACIONES'!L2</f>
        <v>1102000</v>
      </c>
    </row>
    <row r="199" spans="1:3" ht="24" x14ac:dyDescent="0.2">
      <c r="A199" s="56">
        <f>+'[1]CONV-INVESTIGACIONES'!G3</f>
        <v>60101</v>
      </c>
      <c r="B199" s="61" t="s">
        <v>550</v>
      </c>
      <c r="C199" s="58">
        <f>+'[1]CONV-INVESTIGACIONES'!L3</f>
        <v>2400000</v>
      </c>
    </row>
    <row r="200" spans="1:3" ht="24" x14ac:dyDescent="0.2">
      <c r="A200" s="56">
        <f>+'[1]CONV-INVESTIGACIONES'!G4</f>
        <v>60101</v>
      </c>
      <c r="B200" s="61" t="s">
        <v>550</v>
      </c>
      <c r="C200" s="58">
        <f>+'[1]CONV-INVESTIGACIONES'!L4</f>
        <v>3773679</v>
      </c>
    </row>
    <row r="201" spans="1:3" ht="24" x14ac:dyDescent="0.2">
      <c r="A201" s="56">
        <f>+'[1]CONV-INVESTIGACIONES'!G5</f>
        <v>60101</v>
      </c>
      <c r="B201" s="61" t="s">
        <v>550</v>
      </c>
      <c r="C201" s="58">
        <f>+'[1]CONV-INVESTIGACIONES'!L5</f>
        <v>4583300</v>
      </c>
    </row>
    <row r="202" spans="1:3" ht="24" x14ac:dyDescent="0.2">
      <c r="A202" s="56">
        <f>+'[1]CONV-INVESTIGACIONES'!G6</f>
        <v>60101</v>
      </c>
      <c r="B202" s="61" t="s">
        <v>550</v>
      </c>
      <c r="C202" s="58">
        <f>+'[1]CONV-INVESTIGACIONES'!L6</f>
        <v>1000000</v>
      </c>
    </row>
    <row r="203" spans="1:3" ht="24" x14ac:dyDescent="0.2">
      <c r="A203" s="56">
        <f>+'[1]CONV-INVESTIGACIONES'!G7</f>
        <v>60101</v>
      </c>
      <c r="B203" s="61" t="s">
        <v>550</v>
      </c>
      <c r="C203" s="58">
        <f>+'[1]CONV-INVESTIGACIONES'!L7</f>
        <v>7000000</v>
      </c>
    </row>
    <row r="204" spans="1:3" ht="24" x14ac:dyDescent="0.2">
      <c r="A204" s="56">
        <f>+'[1]CONV-INVESTIGACIONES'!G8</f>
        <v>60101</v>
      </c>
      <c r="B204" s="61" t="s">
        <v>550</v>
      </c>
      <c r="C204" s="58">
        <f>+'[1]CONV-INVESTIGACIONES'!L8</f>
        <v>940100</v>
      </c>
    </row>
    <row r="205" spans="1:3" ht="24" x14ac:dyDescent="0.2">
      <c r="A205" s="56">
        <f>+'[1]CONV-INVESTIGACIONES'!G9</f>
        <v>60101</v>
      </c>
      <c r="B205" s="61" t="s">
        <v>550</v>
      </c>
      <c r="C205" s="58">
        <f>+'[1]CONV-INVESTIGACIONES'!L9</f>
        <v>4000000</v>
      </c>
    </row>
    <row r="206" spans="1:3" ht="24" x14ac:dyDescent="0.2">
      <c r="A206" s="56">
        <f>+'[1]CONV-INVESTIGACIONES'!G10</f>
        <v>60101</v>
      </c>
      <c r="B206" s="61" t="s">
        <v>550</v>
      </c>
      <c r="C206" s="58">
        <f>+'[1]CONV-INVESTIGACIONES'!L10</f>
        <v>2588250</v>
      </c>
    </row>
    <row r="207" spans="1:3" ht="24" x14ac:dyDescent="0.2">
      <c r="A207" s="56">
        <f>+'[1]CONV-INVESTIGACIONES'!G11</f>
        <v>60101</v>
      </c>
      <c r="B207" s="61" t="s">
        <v>550</v>
      </c>
      <c r="C207" s="58">
        <f>+'[1]CONV-INVESTIGACIONES'!L11</f>
        <v>2072385</v>
      </c>
    </row>
    <row r="208" spans="1:3" ht="24" x14ac:dyDescent="0.2">
      <c r="A208" s="56">
        <f>+'[1]CONV-INVESTIGACIONES'!G12</f>
        <v>60101</v>
      </c>
      <c r="B208" s="61" t="s">
        <v>550</v>
      </c>
      <c r="C208" s="58">
        <f>+'[1]CONV-INVESTIGACIONES'!L12</f>
        <v>22088000</v>
      </c>
    </row>
    <row r="209" spans="1:3" ht="24" x14ac:dyDescent="0.2">
      <c r="A209" s="56">
        <f>+'[1]CONV-INVESTIGACIONES'!G13</f>
        <v>60101</v>
      </c>
      <c r="B209" s="61" t="s">
        <v>550</v>
      </c>
      <c r="C209" s="58">
        <f>+'[1]CONV-INVESTIGACIONES'!L13</f>
        <v>3900000</v>
      </c>
    </row>
    <row r="210" spans="1:3" ht="24" x14ac:dyDescent="0.2">
      <c r="A210" s="56">
        <f>+'[1]CONV-INVESTIGACIONES'!G14</f>
        <v>60101</v>
      </c>
      <c r="B210" s="61" t="s">
        <v>550</v>
      </c>
      <c r="C210" s="58">
        <f>+'[1]CONV-INVESTIGACIONES'!L14</f>
        <v>5200000</v>
      </c>
    </row>
    <row r="211" spans="1:3" ht="24" x14ac:dyDescent="0.2">
      <c r="A211" s="56">
        <f>+'[1]CONV-INVESTIGACIONES'!G15</f>
        <v>60101</v>
      </c>
      <c r="B211" s="61" t="s">
        <v>550</v>
      </c>
      <c r="C211" s="58">
        <f>+'[1]CONV-INVESTIGACIONES'!L15</f>
        <v>13000000</v>
      </c>
    </row>
    <row r="212" spans="1:3" ht="24" x14ac:dyDescent="0.2">
      <c r="A212" s="56">
        <f>+'[1]CONV-INVESTIGACIONES'!G16</f>
        <v>60101</v>
      </c>
      <c r="B212" s="61" t="s">
        <v>550</v>
      </c>
      <c r="C212" s="58">
        <f>+'[1]CONV-INVESTIGACIONES'!L16</f>
        <v>4050000</v>
      </c>
    </row>
    <row r="213" spans="1:3" ht="24" x14ac:dyDescent="0.2">
      <c r="A213" s="56">
        <f>+'[1]CONV-INVESTIGACIONES'!G17</f>
        <v>60101</v>
      </c>
      <c r="B213" s="61" t="s">
        <v>550</v>
      </c>
      <c r="C213" s="58">
        <f>+'[1]CONV-INVESTIGACIONES'!L17</f>
        <v>5500000</v>
      </c>
    </row>
    <row r="214" spans="1:3" ht="24" x14ac:dyDescent="0.2">
      <c r="A214" s="56">
        <f>+'[1]CONV-INVESTIGACIONES'!G18</f>
        <v>60101</v>
      </c>
      <c r="B214" s="61" t="s">
        <v>550</v>
      </c>
      <c r="C214" s="58">
        <f>+'[1]CONV-INVESTIGACIONES'!L18</f>
        <v>5974744</v>
      </c>
    </row>
    <row r="215" spans="1:3" ht="24" x14ac:dyDescent="0.2">
      <c r="A215" s="56">
        <f>+'[1]CONV-INVESTIGACIONES'!G19</f>
        <v>60101</v>
      </c>
      <c r="B215" s="61" t="s">
        <v>550</v>
      </c>
      <c r="C215" s="58">
        <f>+'[1]CONV-INVESTIGACIONES'!L19</f>
        <v>23320457</v>
      </c>
    </row>
    <row r="216" spans="1:3" ht="24" x14ac:dyDescent="0.2">
      <c r="A216" s="56">
        <f>+'[1]CONV-INVESTIGACIONES'!G20</f>
        <v>60101</v>
      </c>
      <c r="B216" s="61" t="s">
        <v>550</v>
      </c>
      <c r="C216" s="58">
        <f>+'[1]CONV-INVESTIGACIONES'!L20</f>
        <v>4000000</v>
      </c>
    </row>
    <row r="217" spans="1:3" ht="24" x14ac:dyDescent="0.2">
      <c r="A217" s="56">
        <f>+'[1]CONV-INVESTIGACIONES'!G21</f>
        <v>60101</v>
      </c>
      <c r="B217" s="61" t="s">
        <v>550</v>
      </c>
      <c r="C217" s="58">
        <f>+'[1]CONV-INVESTIGACIONES'!L21</f>
        <v>2000000</v>
      </c>
    </row>
    <row r="218" spans="1:3" ht="24" x14ac:dyDescent="0.2">
      <c r="A218" s="56">
        <f>+'[1]CONV-INVESTIGACIONES'!G22</f>
        <v>60101</v>
      </c>
      <c r="B218" s="61" t="s">
        <v>550</v>
      </c>
      <c r="C218" s="58">
        <f>+'[1]CONV-INVESTIGACIONES'!L22</f>
        <v>2000000</v>
      </c>
    </row>
    <row r="219" spans="1:3" ht="24" x14ac:dyDescent="0.2">
      <c r="A219" s="56">
        <f>+'[1]CONV-INVESTIGACIONES'!G23</f>
        <v>60101</v>
      </c>
      <c r="B219" s="61" t="s">
        <v>550</v>
      </c>
      <c r="C219" s="58">
        <f>+'[1]CONV-INVESTIGACIONES'!L23</f>
        <v>7000000</v>
      </c>
    </row>
    <row r="220" spans="1:3" ht="24" x14ac:dyDescent="0.2">
      <c r="A220" s="56">
        <f>+'[1]CONV-INVESTIGACIONES'!G24</f>
        <v>60101</v>
      </c>
      <c r="B220" s="61" t="s">
        <v>550</v>
      </c>
      <c r="C220" s="58">
        <f>+'[1]CONV-INVESTIGACIONES'!L24</f>
        <v>3400000</v>
      </c>
    </row>
    <row r="221" spans="1:3" ht="24" x14ac:dyDescent="0.2">
      <c r="A221" s="56">
        <f>+'[1]CONV-INVESTIGACIONES'!G25</f>
        <v>60101</v>
      </c>
      <c r="B221" s="61" t="s">
        <v>550</v>
      </c>
      <c r="C221" s="58">
        <f>+'[1]CONV-INVESTIGACIONES'!L25</f>
        <v>4500000</v>
      </c>
    </row>
    <row r="222" spans="1:3" ht="24" x14ac:dyDescent="0.2">
      <c r="A222" s="56">
        <f>+'[1]CONV-INVESTIGACIONES'!G26</f>
        <v>60101</v>
      </c>
      <c r="B222" s="61" t="s">
        <v>550</v>
      </c>
      <c r="C222" s="58">
        <f>+'[1]CONV-INVESTIGACIONES'!L26</f>
        <v>6949612</v>
      </c>
    </row>
    <row r="223" spans="1:3" ht="24" x14ac:dyDescent="0.2">
      <c r="A223" s="56">
        <f>+'[1]CONV-INVESTIGACIONES'!G27</f>
        <v>60101</v>
      </c>
      <c r="B223" s="61" t="s">
        <v>550</v>
      </c>
      <c r="C223" s="58">
        <f>+'[1]CONV-INVESTIGACIONES'!L27</f>
        <v>1095000</v>
      </c>
    </row>
    <row r="224" spans="1:3" ht="24" x14ac:dyDescent="0.2">
      <c r="A224" s="56">
        <f>+'[1]CONV-INVESTIGACIONES'!G28</f>
        <v>60101</v>
      </c>
      <c r="B224" s="61" t="s">
        <v>550</v>
      </c>
      <c r="C224" s="58">
        <f>+'[1]CONV-INVESTIGACIONES'!L28</f>
        <v>348132</v>
      </c>
    </row>
    <row r="225" spans="1:3" ht="24" x14ac:dyDescent="0.2">
      <c r="A225" s="56">
        <f>+'[1]CONV-INVESTIGACIONES'!G29</f>
        <v>60101</v>
      </c>
      <c r="B225" s="61" t="s">
        <v>550</v>
      </c>
      <c r="C225" s="58">
        <f>+'[1]CONV-INVESTIGACIONES'!L29</f>
        <v>4748100</v>
      </c>
    </row>
    <row r="226" spans="1:3" ht="24" x14ac:dyDescent="0.2">
      <c r="A226" s="56">
        <f>+'[1]CONV-INVESTIGACIONES'!G30</f>
        <v>60101</v>
      </c>
      <c r="B226" s="61" t="s">
        <v>550</v>
      </c>
      <c r="C226" s="58">
        <f>+'[1]CONV-INVESTIGACIONES'!L30</f>
        <v>5893951</v>
      </c>
    </row>
    <row r="227" spans="1:3" ht="24" x14ac:dyDescent="0.2">
      <c r="A227" s="56">
        <f>+'[1]CONV-INVESTIGACIONES'!G31</f>
        <v>60101</v>
      </c>
      <c r="B227" s="61" t="s">
        <v>550</v>
      </c>
      <c r="C227" s="58">
        <f>+'[1]CONV-INVESTIGACIONES'!L31</f>
        <v>1000000</v>
      </c>
    </row>
    <row r="228" spans="1:3" ht="24" x14ac:dyDescent="0.2">
      <c r="A228" s="56">
        <f>+'[1]CONV-INVESTIGACIONES'!G32</f>
        <v>60101</v>
      </c>
      <c r="B228" s="61" t="s">
        <v>550</v>
      </c>
      <c r="C228" s="58">
        <f>+'[1]CONV-INVESTIGACIONES'!L32</f>
        <v>12465091</v>
      </c>
    </row>
    <row r="229" spans="1:3" ht="24" x14ac:dyDescent="0.2">
      <c r="A229" s="56">
        <f>+'[1]CONV-INVESTIGACIONES'!G33</f>
        <v>60101</v>
      </c>
      <c r="B229" s="61" t="s">
        <v>550</v>
      </c>
      <c r="C229" s="58">
        <f>+'[1]CONV-INVESTIGACIONES'!L33</f>
        <v>1197078</v>
      </c>
    </row>
    <row r="230" spans="1:3" ht="24" x14ac:dyDescent="0.2">
      <c r="A230" s="56">
        <f>+'[1]CONV-INVESTIGACIONES'!G34</f>
        <v>60101</v>
      </c>
      <c r="B230" s="61" t="s">
        <v>550</v>
      </c>
      <c r="C230" s="58">
        <f>+'[1]CONV-INVESTIGACIONES'!L34</f>
        <v>11900000</v>
      </c>
    </row>
    <row r="231" spans="1:3" ht="24" x14ac:dyDescent="0.2">
      <c r="A231" s="56">
        <f>+'[1]CONV-INVESTIGACIONES'!G35</f>
        <v>60101</v>
      </c>
      <c r="B231" s="61" t="s">
        <v>550</v>
      </c>
      <c r="C231" s="58">
        <f>+'[1]CONV-INVESTIGACIONES'!L35</f>
        <v>10000000</v>
      </c>
    </row>
    <row r="232" spans="1:3" ht="24" x14ac:dyDescent="0.2">
      <c r="A232" s="56">
        <f>+'[1]CONV-INVESTIGACIONES'!G36</f>
        <v>60101</v>
      </c>
      <c r="B232" s="61" t="s">
        <v>550</v>
      </c>
      <c r="C232" s="58">
        <f>+'[1]CONV-INVESTIGACIONES'!L36</f>
        <v>11102700</v>
      </c>
    </row>
    <row r="233" spans="1:3" ht="24" x14ac:dyDescent="0.2">
      <c r="A233" s="56">
        <f>+'[1]CONV-INVESTIGACIONES'!G37</f>
        <v>60101</v>
      </c>
      <c r="B233" s="61" t="s">
        <v>550</v>
      </c>
      <c r="C233" s="58">
        <f>+'[1]CONV-INVESTIGACIONES'!L37</f>
        <v>17000000</v>
      </c>
    </row>
    <row r="234" spans="1:3" ht="24" x14ac:dyDescent="0.2">
      <c r="A234" s="56">
        <f>+'[1]CONV-INVESTIGACIONES'!G38</f>
        <v>60101</v>
      </c>
      <c r="B234" s="61" t="s">
        <v>550</v>
      </c>
      <c r="C234" s="58">
        <f>+'[1]CONV-INVESTIGACIONES'!L38</f>
        <v>6000000</v>
      </c>
    </row>
    <row r="235" spans="1:3" ht="24" x14ac:dyDescent="0.2">
      <c r="A235" s="56">
        <f>+'[1]CONV-INVESTIGACIONES'!G39</f>
        <v>60101</v>
      </c>
      <c r="B235" s="61" t="s">
        <v>550</v>
      </c>
      <c r="C235" s="58">
        <f>+'[1]CONV-INVESTIGACIONES'!L39</f>
        <v>3600000</v>
      </c>
    </row>
    <row r="236" spans="1:3" ht="24" x14ac:dyDescent="0.2">
      <c r="A236" s="56">
        <f>+'[1]CONV-INVESTIGACIONES'!G40</f>
        <v>60101</v>
      </c>
      <c r="B236" s="61" t="s">
        <v>550</v>
      </c>
      <c r="C236" s="58">
        <f>+'[1]CONV-INVESTIGACIONES'!L40</f>
        <v>35290000</v>
      </c>
    </row>
    <row r="237" spans="1:3" ht="24" x14ac:dyDescent="0.2">
      <c r="A237" s="56">
        <f>+'[1]CONV-INVESTIGACIONES'!G41</f>
        <v>60101</v>
      </c>
      <c r="B237" s="61" t="s">
        <v>550</v>
      </c>
      <c r="C237" s="58">
        <f>+'[1]CONV-INVESTIGACIONES'!L41</f>
        <v>4000000</v>
      </c>
    </row>
    <row r="238" spans="1:3" ht="24" x14ac:dyDescent="0.2">
      <c r="A238" s="56">
        <f>+'[1]CONV-INVESTIGACIONES'!G42</f>
        <v>60101</v>
      </c>
      <c r="B238" s="61" t="s">
        <v>550</v>
      </c>
      <c r="C238" s="58">
        <f>+'[1]CONV-INVESTIGACIONES'!L42</f>
        <v>4000000</v>
      </c>
    </row>
    <row r="239" spans="1:3" ht="24" x14ac:dyDescent="0.2">
      <c r="A239" s="56">
        <f>+'[1]CONV-INVESTIGACIONES'!G43</f>
        <v>60101</v>
      </c>
      <c r="B239" s="61" t="s">
        <v>550</v>
      </c>
      <c r="C239" s="58">
        <f>+'[1]CONV-INVESTIGACIONES'!L43</f>
        <v>10623120</v>
      </c>
    </row>
    <row r="240" spans="1:3" ht="24" x14ac:dyDescent="0.2">
      <c r="A240" s="56">
        <f>+'[1]CONV-INVESTIGACIONES'!G44</f>
        <v>60101</v>
      </c>
      <c r="B240" s="61" t="s">
        <v>550</v>
      </c>
      <c r="C240" s="58">
        <f>+'[1]CONV-INVESTIGACIONES'!L44</f>
        <v>4520000</v>
      </c>
    </row>
    <row r="241" spans="1:3" ht="24" x14ac:dyDescent="0.2">
      <c r="A241" s="56">
        <f>+'[1]CONV-INVESTIGACIONES'!G45</f>
        <v>60101</v>
      </c>
      <c r="B241" s="61" t="s">
        <v>550</v>
      </c>
      <c r="C241" s="58">
        <f>+'[1]CONV-INVESTIGACIONES'!L45</f>
        <v>3120000</v>
      </c>
    </row>
    <row r="242" spans="1:3" ht="24" x14ac:dyDescent="0.2">
      <c r="A242" s="56">
        <f>+'[1]CONV-INVESTIGACIONES'!G46</f>
        <v>60101</v>
      </c>
      <c r="B242" s="61" t="s">
        <v>550</v>
      </c>
      <c r="C242" s="58">
        <f>+'[1]CONV-INVESTIGACIONES'!L46</f>
        <v>3120000</v>
      </c>
    </row>
    <row r="243" spans="1:3" ht="24" x14ac:dyDescent="0.2">
      <c r="A243" s="56">
        <f>+'[1]CONV-INVESTIGACIONES'!G47</f>
        <v>60101</v>
      </c>
      <c r="B243" s="61" t="s">
        <v>550</v>
      </c>
      <c r="C243" s="58">
        <f>+'[1]CONV-INVESTIGACIONES'!L47</f>
        <v>3120000</v>
      </c>
    </row>
    <row r="244" spans="1:3" ht="24" x14ac:dyDescent="0.2">
      <c r="A244" s="56">
        <f>+'[1]CONV-INVESTIGACIONES'!G48</f>
        <v>60101</v>
      </c>
      <c r="B244" s="61" t="s">
        <v>550</v>
      </c>
      <c r="C244" s="58">
        <f>+'[1]CONV-INVESTIGACIONES'!L48</f>
        <v>3070000</v>
      </c>
    </row>
    <row r="245" spans="1:3" ht="24" x14ac:dyDescent="0.2">
      <c r="A245" s="56">
        <f>+'[1]CONV-INVESTIGACIONES'!G49</f>
        <v>60101</v>
      </c>
      <c r="B245" s="61" t="s">
        <v>550</v>
      </c>
      <c r="C245" s="58">
        <f>+'[1]CONV-INVESTIGACIONES'!L49</f>
        <v>473067</v>
      </c>
    </row>
    <row r="246" spans="1:3" ht="24" x14ac:dyDescent="0.2">
      <c r="A246" s="56">
        <f>+'[1]CONV-INVESTIGACIONES'!G50</f>
        <v>60101</v>
      </c>
      <c r="B246" s="61" t="s">
        <v>550</v>
      </c>
      <c r="C246" s="58">
        <f>+'[1]CONV-INVESTIGACIONES'!L50</f>
        <v>1915199</v>
      </c>
    </row>
    <row r="247" spans="1:3" ht="24" x14ac:dyDescent="0.2">
      <c r="A247" s="56">
        <f>+'[1]CONV-INVESTIGACIONES'!G51</f>
        <v>60101</v>
      </c>
      <c r="B247" s="61" t="s">
        <v>550</v>
      </c>
      <c r="C247" s="58">
        <f>+'[1]CONV-INVESTIGACIONES'!L51</f>
        <v>2145570</v>
      </c>
    </row>
    <row r="248" spans="1:3" ht="24" x14ac:dyDescent="0.2">
      <c r="A248" s="56">
        <f>+'[1]CONV-INVESTIGACIONES'!G52</f>
        <v>60101</v>
      </c>
      <c r="B248" s="61" t="s">
        <v>550</v>
      </c>
      <c r="C248" s="58">
        <f>+'[1]CONV-INVESTIGACIONES'!L52</f>
        <v>2380000</v>
      </c>
    </row>
    <row r="249" spans="1:3" ht="24" x14ac:dyDescent="0.2">
      <c r="A249" s="56">
        <f>+'[1]CONV-INVESTIGACIONES'!G53</f>
        <v>60101</v>
      </c>
      <c r="B249" s="61" t="s">
        <v>550</v>
      </c>
      <c r="C249" s="58">
        <f>+'[1]CONV-INVESTIGACIONES'!L53</f>
        <v>1043630</v>
      </c>
    </row>
    <row r="250" spans="1:3" ht="24" x14ac:dyDescent="0.2">
      <c r="A250" s="56">
        <f>+'[1]CONV-INVESTIGACIONES'!G54</f>
        <v>60101</v>
      </c>
      <c r="B250" s="61" t="s">
        <v>550</v>
      </c>
      <c r="C250" s="58">
        <f>+'[1]CONV-INVESTIGACIONES'!L54</f>
        <v>215840</v>
      </c>
    </row>
    <row r="251" spans="1:3" ht="24" x14ac:dyDescent="0.2">
      <c r="A251" s="56">
        <f>+'[1]CONV-INVESTIGACIONES'!G55</f>
        <v>60101</v>
      </c>
      <c r="B251" s="61" t="s">
        <v>550</v>
      </c>
      <c r="C251" s="58">
        <f>+'[1]CONV-INVESTIGACIONES'!L55</f>
        <v>12000000</v>
      </c>
    </row>
    <row r="252" spans="1:3" ht="24" x14ac:dyDescent="0.2">
      <c r="A252" s="56">
        <f>+'[1]CONV-INVESTIGACIONES'!G56</f>
        <v>60101</v>
      </c>
      <c r="B252" s="61" t="s">
        <v>550</v>
      </c>
      <c r="C252" s="58">
        <f>+'[1]CONV-INVESTIGACIONES'!L56</f>
        <v>5901736</v>
      </c>
    </row>
    <row r="253" spans="1:3" ht="24" x14ac:dyDescent="0.2">
      <c r="A253" s="56">
        <f>+'[1]CONV-INVESTIGACIONES'!G57</f>
        <v>60102</v>
      </c>
      <c r="B253" s="61" t="s">
        <v>550</v>
      </c>
      <c r="C253" s="58">
        <f>+'[1]CONV-INVESTIGACIONES'!L57</f>
        <v>39151000</v>
      </c>
    </row>
    <row r="254" spans="1:3" ht="24" x14ac:dyDescent="0.2">
      <c r="A254" s="56">
        <f>+'[1]CONV-INVESTIGACIONES'!G58</f>
        <v>60102</v>
      </c>
      <c r="B254" s="61" t="s">
        <v>550</v>
      </c>
      <c r="C254" s="58">
        <f>+'[1]CONV-INVESTIGACIONES'!L58</f>
        <v>14400000</v>
      </c>
    </row>
    <row r="255" spans="1:3" ht="24" x14ac:dyDescent="0.2">
      <c r="A255" s="56">
        <f>+'[1]CONV-INVESTIGACIONES'!G59</f>
        <v>60102</v>
      </c>
      <c r="B255" s="61" t="s">
        <v>550</v>
      </c>
      <c r="C255" s="58">
        <f>+'[1]CONV-INVESTIGACIONES'!L59</f>
        <v>28800000</v>
      </c>
    </row>
    <row r="256" spans="1:3" ht="24" x14ac:dyDescent="0.2">
      <c r="A256" s="56">
        <f>+'[1]CONV-INVESTIGACIONES'!G60</f>
        <v>60102</v>
      </c>
      <c r="B256" s="61" t="s">
        <v>550</v>
      </c>
      <c r="C256" s="58">
        <f>+'[1]CONV-INVESTIGACIONES'!L60</f>
        <v>500000</v>
      </c>
    </row>
    <row r="257" spans="1:3" ht="24" x14ac:dyDescent="0.2">
      <c r="A257" s="56">
        <f>+'[1]CONV-INVESTIGACIONES'!G61</f>
        <v>60102</v>
      </c>
      <c r="B257" s="61" t="s">
        <v>550</v>
      </c>
      <c r="C257" s="58">
        <f>+'[1]CONV-INVESTIGACIONES'!L61</f>
        <v>89500</v>
      </c>
    </row>
    <row r="258" spans="1:3" ht="24" x14ac:dyDescent="0.2">
      <c r="A258" s="56">
        <f>+'[1]CONV-INVESTIGACIONES'!G62</f>
        <v>60103</v>
      </c>
      <c r="B258" s="61" t="s">
        <v>550</v>
      </c>
      <c r="C258" s="58">
        <f>+'[1]CONV-INVESTIGACIONES'!L62</f>
        <v>2514778</v>
      </c>
    </row>
    <row r="259" spans="1:3" ht="24" x14ac:dyDescent="0.2">
      <c r="A259" s="56">
        <f>+'[1]CONV-INVESTIGACIONES'!G63</f>
        <v>60103</v>
      </c>
      <c r="B259" s="61" t="s">
        <v>550</v>
      </c>
      <c r="C259" s="58">
        <f>+'[1]CONV-INVESTIGACIONES'!L63</f>
        <v>1400000</v>
      </c>
    </row>
    <row r="260" spans="1:3" ht="24" x14ac:dyDescent="0.2">
      <c r="A260" s="56">
        <f>+'[1]CONV-INVESTIGACIONES'!G64</f>
        <v>60103</v>
      </c>
      <c r="B260" s="61" t="s">
        <v>550</v>
      </c>
      <c r="C260" s="58">
        <f>+'[1]CONV-INVESTIGACIONES'!L64</f>
        <v>559786</v>
      </c>
    </row>
    <row r="261" spans="1:3" ht="24" x14ac:dyDescent="0.2">
      <c r="A261" s="56">
        <f>+'[1]CONV-INVESTIGACIONES'!G65</f>
        <v>60103</v>
      </c>
      <c r="B261" s="61" t="s">
        <v>550</v>
      </c>
      <c r="C261" s="58">
        <f>+'[1]CONV-INVESTIGACIONES'!L65</f>
        <v>3703426</v>
      </c>
    </row>
    <row r="262" spans="1:3" ht="24" x14ac:dyDescent="0.2">
      <c r="A262" s="56">
        <f>+'[1]CONV-INVESTIGACIONES'!G66</f>
        <v>60103</v>
      </c>
      <c r="B262" s="61" t="s">
        <v>550</v>
      </c>
      <c r="C262" s="58">
        <f>+'[1]CONV-INVESTIGACIONES'!L66</f>
        <v>853222</v>
      </c>
    </row>
    <row r="263" spans="1:3" ht="24" x14ac:dyDescent="0.2">
      <c r="A263" s="56">
        <f>+'[1]CONV-INVESTIGACIONES'!G67</f>
        <v>60103</v>
      </c>
      <c r="B263" s="61" t="s">
        <v>550</v>
      </c>
      <c r="C263" s="58">
        <f>+'[1]CONV-INVESTIGACIONES'!L67</f>
        <v>420000</v>
      </c>
    </row>
    <row r="264" spans="1:3" ht="24" x14ac:dyDescent="0.2">
      <c r="A264" s="56">
        <f>+'[1]CONV-INVESTIGACIONES'!G68</f>
        <v>60103</v>
      </c>
      <c r="B264" s="61" t="s">
        <v>550</v>
      </c>
      <c r="C264" s="58">
        <f>+'[1]CONV-INVESTIGACIONES'!L68</f>
        <v>543830</v>
      </c>
    </row>
    <row r="265" spans="1:3" ht="24" x14ac:dyDescent="0.2">
      <c r="A265" s="56">
        <f>+'[1]CONV-INVESTIGACIONES'!G69</f>
        <v>60104</v>
      </c>
      <c r="B265" s="61" t="s">
        <v>550</v>
      </c>
      <c r="C265" s="58">
        <f>+'[1]CONV-INVESTIGACIONES'!L69</f>
        <v>2972620</v>
      </c>
    </row>
    <row r="266" spans="1:3" ht="24" x14ac:dyDescent="0.2">
      <c r="A266" s="56">
        <f>+'[1]CONV-INVESTIGACIONES'!G70</f>
        <v>60104</v>
      </c>
      <c r="B266" s="61" t="s">
        <v>550</v>
      </c>
      <c r="C266" s="58">
        <f>+'[1]CONV-INVESTIGACIONES'!L70</f>
        <v>3300000</v>
      </c>
    </row>
    <row r="267" spans="1:3" ht="24" x14ac:dyDescent="0.2">
      <c r="A267" s="56">
        <f>+'[1]CONV-INVESTIGACIONES'!G71</f>
        <v>60104</v>
      </c>
      <c r="B267" s="61" t="s">
        <v>550</v>
      </c>
      <c r="C267" s="58">
        <f>+'[1]CONV-INVESTIGACIONES'!L71</f>
        <v>725221</v>
      </c>
    </row>
    <row r="268" spans="1:3" ht="24" x14ac:dyDescent="0.2">
      <c r="A268" s="56">
        <f>+'[1]CONV-INVESTIGACIONES'!G72</f>
        <v>60104</v>
      </c>
      <c r="B268" s="61" t="s">
        <v>550</v>
      </c>
      <c r="C268" s="58">
        <f>+'[1]CONV-INVESTIGACIONES'!L72</f>
        <v>299880</v>
      </c>
    </row>
    <row r="269" spans="1:3" ht="24" x14ac:dyDescent="0.2">
      <c r="A269" s="56">
        <f>+'[1]CONV-INVESTIGACIONES'!G73</f>
        <v>60104</v>
      </c>
      <c r="B269" s="61" t="s">
        <v>550</v>
      </c>
      <c r="C269" s="58">
        <f>+'[1]CONV-INVESTIGACIONES'!L73</f>
        <v>1632561</v>
      </c>
    </row>
    <row r="270" spans="1:3" ht="24" x14ac:dyDescent="0.2">
      <c r="A270" s="56">
        <f>+'[1]CONV-INVESTIGACIONES'!G74</f>
        <v>60104</v>
      </c>
      <c r="B270" s="61" t="s">
        <v>550</v>
      </c>
      <c r="C270" s="58">
        <f>+'[1]CONV-INVESTIGACIONES'!L74</f>
        <v>4864652</v>
      </c>
    </row>
    <row r="271" spans="1:3" ht="24" x14ac:dyDescent="0.2">
      <c r="A271" s="56">
        <f>+'[1]CONV-INVESTIGACIONES'!G75</f>
        <v>60104</v>
      </c>
      <c r="B271" s="61" t="s">
        <v>550</v>
      </c>
      <c r="C271" s="58">
        <f>+'[1]CONV-INVESTIGACIONES'!L75</f>
        <v>286790</v>
      </c>
    </row>
    <row r="272" spans="1:3" ht="24" x14ac:dyDescent="0.2">
      <c r="A272" s="56">
        <f>+'[1]CONV-INVESTIGACIONES'!G76</f>
        <v>60104</v>
      </c>
      <c r="B272" s="61" t="s">
        <v>550</v>
      </c>
      <c r="C272" s="58">
        <f>+'[1]CONV-INVESTIGACIONES'!L76</f>
        <v>3028074</v>
      </c>
    </row>
    <row r="273" spans="1:3" ht="24" x14ac:dyDescent="0.2">
      <c r="A273" s="56">
        <f>+'[1]CONV-INVESTIGACIONES'!G77</f>
        <v>60104</v>
      </c>
      <c r="B273" s="61" t="s">
        <v>550</v>
      </c>
      <c r="C273" s="58">
        <f>+'[1]CONV-INVESTIGACIONES'!L77</f>
        <v>778480</v>
      </c>
    </row>
    <row r="274" spans="1:3" ht="24" x14ac:dyDescent="0.2">
      <c r="A274" s="56">
        <f>+'[1]CONV-INVESTIGACIONES'!G78</f>
        <v>60104</v>
      </c>
      <c r="B274" s="61" t="s">
        <v>550</v>
      </c>
      <c r="C274" s="58">
        <f>+'[1]CONV-INVESTIGACIONES'!L78</f>
        <v>2615382</v>
      </c>
    </row>
    <row r="275" spans="1:3" ht="24" x14ac:dyDescent="0.2">
      <c r="A275" s="56">
        <f>+'[1]CONV-INVESTIGACIONES'!G79</f>
        <v>60104</v>
      </c>
      <c r="B275" s="61" t="s">
        <v>550</v>
      </c>
      <c r="C275" s="58">
        <f>+'[1]CONV-INVESTIGACIONES'!L79</f>
        <v>555000</v>
      </c>
    </row>
    <row r="276" spans="1:3" ht="24" x14ac:dyDescent="0.2">
      <c r="A276" s="56">
        <f>+'[1]CONV-INVESTIGACIONES'!G80</f>
        <v>60104</v>
      </c>
      <c r="B276" s="61" t="s">
        <v>550</v>
      </c>
      <c r="C276" s="58">
        <f>+'[1]CONV-INVESTIGACIONES'!L80</f>
        <v>287633</v>
      </c>
    </row>
    <row r="277" spans="1:3" ht="24" x14ac:dyDescent="0.2">
      <c r="A277" s="56">
        <f>+'[1]CONV-INVESTIGACIONES'!G81</f>
        <v>60104</v>
      </c>
      <c r="B277" s="61" t="s">
        <v>550</v>
      </c>
      <c r="C277" s="58">
        <f>+'[1]CONV-INVESTIGACIONES'!L81</f>
        <v>2258620</v>
      </c>
    </row>
    <row r="278" spans="1:3" ht="24" x14ac:dyDescent="0.2">
      <c r="A278" s="56">
        <f>+'[1]CONV-INVESTIGACIONES'!G82</f>
        <v>60104</v>
      </c>
      <c r="B278" s="61" t="s">
        <v>550</v>
      </c>
      <c r="C278" s="58">
        <f>+'[1]CONV-INVESTIGACIONES'!L82</f>
        <v>2200000</v>
      </c>
    </row>
    <row r="279" spans="1:3" ht="24" x14ac:dyDescent="0.2">
      <c r="A279" s="56">
        <f>+'[1]CONV-INVESTIGACIONES'!G83</f>
        <v>60104</v>
      </c>
      <c r="B279" s="61" t="s">
        <v>550</v>
      </c>
      <c r="C279" s="58">
        <f>+'[1]CONV-INVESTIGACIONES'!L83</f>
        <v>34200000</v>
      </c>
    </row>
    <row r="280" spans="1:3" ht="24" x14ac:dyDescent="0.2">
      <c r="A280" s="56">
        <f>+'[1]CONV-INVESTIGACIONES'!G84</f>
        <v>60104</v>
      </c>
      <c r="B280" s="61" t="s">
        <v>550</v>
      </c>
      <c r="C280" s="58">
        <f>+'[1]CONV-INVESTIGACIONES'!L84</f>
        <v>2024500</v>
      </c>
    </row>
    <row r="281" spans="1:3" ht="24" x14ac:dyDescent="0.2">
      <c r="A281" s="56">
        <f>+'[1]CONV-INVESTIGACIONES'!G85</f>
        <v>60105</v>
      </c>
      <c r="B281" s="61" t="s">
        <v>550</v>
      </c>
      <c r="C281" s="58">
        <f>+'[1]CONV-INVESTIGACIONES'!L85</f>
        <v>1600000</v>
      </c>
    </row>
    <row r="282" spans="1:3" ht="24" x14ac:dyDescent="0.2">
      <c r="A282" s="56">
        <f>+'[1]CONV-INVESTIGACIONES'!G86</f>
        <v>60105</v>
      </c>
      <c r="B282" s="61" t="s">
        <v>550</v>
      </c>
      <c r="C282" s="58">
        <f>+'[1]CONV-INVESTIGACIONES'!L86</f>
        <v>9200000</v>
      </c>
    </row>
    <row r="283" spans="1:3" ht="24" x14ac:dyDescent="0.2">
      <c r="A283" s="56">
        <f>+'[1]CONV-INVESTIGACIONES'!G87</f>
        <v>60105</v>
      </c>
      <c r="B283" s="61" t="s">
        <v>550</v>
      </c>
      <c r="C283" s="58">
        <f>+'[1]CONV-INVESTIGACIONES'!L87</f>
        <v>1600000</v>
      </c>
    </row>
    <row r="284" spans="1:3" ht="24" x14ac:dyDescent="0.2">
      <c r="A284" s="56">
        <f>+'[1]CONV-INVESTIGACIONES'!G88</f>
        <v>60105</v>
      </c>
      <c r="B284" s="61" t="s">
        <v>550</v>
      </c>
      <c r="C284" s="58">
        <f>+'[1]CONV-INVESTIGACIONES'!L88</f>
        <v>4600000</v>
      </c>
    </row>
    <row r="285" spans="1:3" ht="24" x14ac:dyDescent="0.2">
      <c r="A285" s="56">
        <f>+'[1]CONV-INVESTIGACIONES'!G89</f>
        <v>60105</v>
      </c>
      <c r="B285" s="61" t="s">
        <v>550</v>
      </c>
      <c r="C285" s="58">
        <f>+'[1]CONV-INVESTIGACIONES'!L89</f>
        <v>4600000</v>
      </c>
    </row>
    <row r="286" spans="1:3" ht="24" x14ac:dyDescent="0.2">
      <c r="A286" s="56">
        <f>+'[1]CONV-INVESTIGACIONES'!G90</f>
        <v>60105</v>
      </c>
      <c r="B286" s="61" t="s">
        <v>550</v>
      </c>
      <c r="C286" s="58">
        <f>+'[1]CONV-INVESTIGACIONES'!L90</f>
        <v>4600000</v>
      </c>
    </row>
    <row r="287" spans="1:3" ht="24" x14ac:dyDescent="0.2">
      <c r="A287" s="56">
        <f>+'[1]CONV-INVESTIGACIONES'!G91</f>
        <v>60105</v>
      </c>
      <c r="B287" s="61" t="s">
        <v>550</v>
      </c>
      <c r="C287" s="58">
        <f>+'[1]CONV-INVESTIGACIONES'!L91</f>
        <v>2300000</v>
      </c>
    </row>
    <row r="288" spans="1:3" ht="24" x14ac:dyDescent="0.2">
      <c r="A288" s="56">
        <f>+'[1]CONV-INVESTIGACIONES'!G92</f>
        <v>60105</v>
      </c>
      <c r="B288" s="61" t="s">
        <v>550</v>
      </c>
      <c r="C288" s="58">
        <f>+'[1]CONV-INVESTIGACIONES'!L92</f>
        <v>6900000</v>
      </c>
    </row>
    <row r="289" spans="1:3" ht="24" x14ac:dyDescent="0.2">
      <c r="A289" s="56">
        <f>+'[1]CONV-INVESTIGACIONES'!G93</f>
        <v>60105</v>
      </c>
      <c r="B289" s="61" t="s">
        <v>550</v>
      </c>
      <c r="C289" s="58">
        <f>+'[1]CONV-INVESTIGACIONES'!L93</f>
        <v>6900000</v>
      </c>
    </row>
    <row r="290" spans="1:3" ht="24" x14ac:dyDescent="0.2">
      <c r="A290" s="56">
        <f>+'[1]CONV-INVESTIGACIONES'!G94</f>
        <v>60105</v>
      </c>
      <c r="B290" s="61" t="s">
        <v>550</v>
      </c>
      <c r="C290" s="58">
        <f>+'[1]CONV-INVESTIGACIONES'!L94</f>
        <v>4600000</v>
      </c>
    </row>
    <row r="291" spans="1:3" ht="24" x14ac:dyDescent="0.2">
      <c r="A291" s="56">
        <f>+'[1]CONV-INVESTIGACIONES'!G95</f>
        <v>60105</v>
      </c>
      <c r="B291" s="61" t="s">
        <v>550</v>
      </c>
      <c r="C291" s="58">
        <f>+'[1]CONV-INVESTIGACIONES'!L95</f>
        <v>6900000</v>
      </c>
    </row>
    <row r="292" spans="1:3" ht="24" x14ac:dyDescent="0.2">
      <c r="A292" s="56">
        <f>+'[1]CONV-INVESTIGACIONES'!G96</f>
        <v>60106</v>
      </c>
      <c r="B292" s="61" t="s">
        <v>550</v>
      </c>
      <c r="C292" s="58">
        <f>+'[1]CONV-INVESTIGACIONES'!L96</f>
        <v>1000000</v>
      </c>
    </row>
    <row r="293" spans="1:3" ht="24" x14ac:dyDescent="0.2">
      <c r="A293" s="56">
        <f>+'[1]CONV-INVESTIGACIONES'!G97</f>
        <v>60106</v>
      </c>
      <c r="B293" s="61" t="s">
        <v>550</v>
      </c>
      <c r="C293" s="58">
        <f>+'[1]CONV-INVESTIGACIONES'!L97</f>
        <v>2666668</v>
      </c>
    </row>
    <row r="294" spans="1:3" ht="24" x14ac:dyDescent="0.2">
      <c r="A294" s="56">
        <f>+'[1]CONV-INVESTIGACIONES'!G98</f>
        <v>60106</v>
      </c>
      <c r="B294" s="61" t="s">
        <v>550</v>
      </c>
      <c r="C294" s="58">
        <f>+'[1]CONV-INVESTIGACIONES'!L98</f>
        <v>14700000</v>
      </c>
    </row>
    <row r="295" spans="1:3" ht="24" x14ac:dyDescent="0.2">
      <c r="A295" s="56">
        <f>+'[1]CONV-INVESTIGACIONES'!G99</f>
        <v>60106</v>
      </c>
      <c r="B295" s="61" t="s">
        <v>550</v>
      </c>
      <c r="C295" s="58">
        <f>+'[1]CONV-INVESTIGACIONES'!L99</f>
        <v>5000000</v>
      </c>
    </row>
    <row r="296" spans="1:3" ht="24" x14ac:dyDescent="0.2">
      <c r="A296" s="56">
        <f>+'[1]CONV-INVESTIGACIONES'!G100</f>
        <v>60106</v>
      </c>
      <c r="B296" s="61" t="s">
        <v>550</v>
      </c>
      <c r="C296" s="58">
        <f>+'[1]CONV-INVESTIGACIONES'!L100</f>
        <v>26324749</v>
      </c>
    </row>
    <row r="297" spans="1:3" ht="24" x14ac:dyDescent="0.2">
      <c r="A297" s="56">
        <f>+'[1]CONV-INVESTIGACIONES'!G101</f>
        <v>60106</v>
      </c>
      <c r="B297" s="61" t="s">
        <v>550</v>
      </c>
      <c r="C297" s="58">
        <f>+'[1]CONV-INVESTIGACIONES'!L101</f>
        <v>14539176.039999999</v>
      </c>
    </row>
    <row r="298" spans="1:3" ht="24" x14ac:dyDescent="0.2">
      <c r="A298" s="56">
        <f>+'[1]CONV-INVESTIGACIONES'!G102</f>
        <v>60106</v>
      </c>
      <c r="B298" s="61" t="s">
        <v>550</v>
      </c>
      <c r="C298" s="58">
        <f>+'[1]CONV-INVESTIGACIONES'!L102</f>
        <v>186431668.90000001</v>
      </c>
    </row>
    <row r="299" spans="1:3" ht="24" x14ac:dyDescent="0.2">
      <c r="A299" s="56">
        <f>+'[1]CONV-INVESTIGACIONES'!G103</f>
        <v>60106</v>
      </c>
      <c r="B299" s="61" t="s">
        <v>550</v>
      </c>
      <c r="C299" s="58">
        <f>+'[1]CONV-INVESTIGACIONES'!L103</f>
        <v>74060399</v>
      </c>
    </row>
    <row r="300" spans="1:3" ht="24" x14ac:dyDescent="0.2">
      <c r="A300" s="56">
        <f>+'[1]CONV-INVESTIGACIONES'!G104</f>
        <v>60106</v>
      </c>
      <c r="B300" s="61" t="s">
        <v>550</v>
      </c>
      <c r="C300" s="58">
        <f>+'[1]CONV-INVESTIGACIONES'!L104</f>
        <v>14490000</v>
      </c>
    </row>
    <row r="301" spans="1:3" ht="24" x14ac:dyDescent="0.2">
      <c r="A301" s="56">
        <f>+'[1]CONV-INVESTIGACIONES'!G105</f>
        <v>60106</v>
      </c>
      <c r="B301" s="61" t="s">
        <v>550</v>
      </c>
      <c r="C301" s="58">
        <f>+'[1]CONV-INVESTIGACIONES'!L105</f>
        <v>21111774</v>
      </c>
    </row>
    <row r="302" spans="1:3" ht="24" x14ac:dyDescent="0.2">
      <c r="A302" s="56">
        <f>+'[1]CONV-INVESTIGACIONES'!G106</f>
        <v>60106</v>
      </c>
      <c r="B302" s="61" t="s">
        <v>550</v>
      </c>
      <c r="C302" s="58">
        <f>+'[1]CONV-INVESTIGACIONES'!L106</f>
        <v>3000000</v>
      </c>
    </row>
    <row r="303" spans="1:3" ht="24" x14ac:dyDescent="0.2">
      <c r="A303" s="56">
        <f>+'[1]CONV-INVESTIGACIONES'!G107</f>
        <v>60106</v>
      </c>
      <c r="B303" s="61" t="s">
        <v>550</v>
      </c>
      <c r="C303" s="58">
        <f>+'[1]CONV-INVESTIGACIONES'!L107</f>
        <v>4500000</v>
      </c>
    </row>
    <row r="304" spans="1:3" ht="24" x14ac:dyDescent="0.2">
      <c r="A304" s="56">
        <f>+'[1]CONV-INVESTIGACIONES'!G108</f>
        <v>60106</v>
      </c>
      <c r="B304" s="61" t="s">
        <v>550</v>
      </c>
      <c r="C304" s="58">
        <f>+'[1]CONV-INVESTIGACIONES'!L108</f>
        <v>2800000</v>
      </c>
    </row>
    <row r="305" spans="1:3" ht="24" x14ac:dyDescent="0.2">
      <c r="A305" s="56">
        <f>+'[1]CONV-INVESTIGACIONES'!G109</f>
        <v>60106</v>
      </c>
      <c r="B305" s="61" t="s">
        <v>550</v>
      </c>
      <c r="C305" s="58">
        <f>+'[1]CONV-INVESTIGACIONES'!L109</f>
        <v>2500000</v>
      </c>
    </row>
    <row r="306" spans="1:3" ht="24" x14ac:dyDescent="0.2">
      <c r="A306" s="56">
        <f>+'[1]CONV-INVESTIGACIONES'!G110</f>
        <v>60106</v>
      </c>
      <c r="B306" s="61" t="s">
        <v>550</v>
      </c>
      <c r="C306" s="58">
        <f>+'[1]CONV-INVESTIGACIONES'!L110</f>
        <v>1750000</v>
      </c>
    </row>
    <row r="307" spans="1:3" ht="24" x14ac:dyDescent="0.2">
      <c r="A307" s="56">
        <f>+'[1]CONV-INVESTIGACIONES'!G111</f>
        <v>60106</v>
      </c>
      <c r="B307" s="61" t="s">
        <v>550</v>
      </c>
      <c r="C307" s="58">
        <f>+'[1]CONV-INVESTIGACIONES'!L111</f>
        <v>1831000</v>
      </c>
    </row>
    <row r="308" spans="1:3" ht="24" x14ac:dyDescent="0.2">
      <c r="A308" s="56">
        <f>+'[1]CONV-INVESTIGACIONES'!G112</f>
        <v>60106</v>
      </c>
      <c r="B308" s="61" t="s">
        <v>550</v>
      </c>
      <c r="C308" s="58">
        <f>+'[1]CONV-INVESTIGACIONES'!L112</f>
        <v>1750000</v>
      </c>
    </row>
    <row r="309" spans="1:3" ht="24" x14ac:dyDescent="0.2">
      <c r="A309" s="56">
        <f>+'[1]CONV-INVESTIGACIONES'!G113</f>
        <v>60106</v>
      </c>
      <c r="B309" s="61" t="s">
        <v>550</v>
      </c>
      <c r="C309" s="58">
        <f>+'[1]CONV-INVESTIGACIONES'!L113</f>
        <v>5250000</v>
      </c>
    </row>
    <row r="310" spans="1:3" ht="24" x14ac:dyDescent="0.2">
      <c r="A310" s="56">
        <f>+'[1]CONV-INVESTIGACIONES'!G114</f>
        <v>60106</v>
      </c>
      <c r="B310" s="61" t="s">
        <v>550</v>
      </c>
      <c r="C310" s="58">
        <f>+'[1]CONV-INVESTIGACIONES'!L114</f>
        <v>1100000</v>
      </c>
    </row>
    <row r="311" spans="1:3" ht="24" x14ac:dyDescent="0.2">
      <c r="A311" s="56">
        <f>+'[1]CONV-INVESTIGACIONES'!G115</f>
        <v>60106</v>
      </c>
      <c r="B311" s="61" t="s">
        <v>550</v>
      </c>
      <c r="C311" s="58">
        <f>+'[1]CONV-INVESTIGACIONES'!L115</f>
        <v>27169422</v>
      </c>
    </row>
    <row r="312" spans="1:3" ht="24" x14ac:dyDescent="0.2">
      <c r="A312" s="56">
        <f>+'[1]CONV-INVESTIGACIONES'!G116</f>
        <v>60106</v>
      </c>
      <c r="B312" s="61" t="s">
        <v>550</v>
      </c>
      <c r="C312" s="58">
        <f>+'[1]CONV-INVESTIGACIONES'!L116</f>
        <v>33515500</v>
      </c>
    </row>
    <row r="313" spans="1:3" ht="24" x14ac:dyDescent="0.2">
      <c r="A313" s="56">
        <f>+'[1]CONV-INVESTIGACIONES'!G117</f>
        <v>60106</v>
      </c>
      <c r="B313" s="61" t="s">
        <v>550</v>
      </c>
      <c r="C313" s="58">
        <f>+'[1]CONV-INVESTIGACIONES'!L117</f>
        <v>9500000</v>
      </c>
    </row>
    <row r="314" spans="1:3" ht="24" x14ac:dyDescent="0.2">
      <c r="A314" s="56">
        <f>+'[1]CONV-INVESTIGACIONES'!G118</f>
        <v>60106</v>
      </c>
      <c r="B314" s="61" t="s">
        <v>550</v>
      </c>
      <c r="C314" s="58">
        <f>+'[1]CONV-INVESTIGACIONES'!L118</f>
        <v>13110926</v>
      </c>
    </row>
    <row r="315" spans="1:3" ht="24" x14ac:dyDescent="0.2">
      <c r="A315" s="56">
        <f>+'[1]CONV-INVESTIGACIONES'!G119</f>
        <v>60106</v>
      </c>
      <c r="B315" s="61" t="s">
        <v>550</v>
      </c>
      <c r="C315" s="58">
        <f>+'[1]CONV-INVESTIGACIONES'!L119</f>
        <v>24200000</v>
      </c>
    </row>
    <row r="316" spans="1:3" ht="24" x14ac:dyDescent="0.2">
      <c r="A316" s="56">
        <f>+'[1]CONV-INVESTIGACIONES'!G120</f>
        <v>60106</v>
      </c>
      <c r="B316" s="61" t="s">
        <v>550</v>
      </c>
      <c r="C316" s="58">
        <f>+'[1]CONV-INVESTIGACIONES'!L120</f>
        <v>26250676</v>
      </c>
    </row>
    <row r="317" spans="1:3" ht="24" x14ac:dyDescent="0.2">
      <c r="A317" s="56">
        <f>+'[1]CONV-INVESTIGACIONES'!G121</f>
        <v>60106</v>
      </c>
      <c r="B317" s="61" t="s">
        <v>550</v>
      </c>
      <c r="C317" s="58">
        <f>+'[1]CONV-INVESTIGACIONES'!L121</f>
        <v>4669735</v>
      </c>
    </row>
    <row r="318" spans="1:3" ht="24" x14ac:dyDescent="0.2">
      <c r="A318" s="56">
        <f>+'[1]CONV-INVESTIGACIONES'!G122</f>
        <v>60106</v>
      </c>
      <c r="B318" s="61" t="s">
        <v>550</v>
      </c>
      <c r="C318" s="58">
        <f>+'[1]CONV-INVESTIGACIONES'!L122</f>
        <v>32800000</v>
      </c>
    </row>
    <row r="319" spans="1:3" ht="24" x14ac:dyDescent="0.2">
      <c r="A319" s="56">
        <f>+'[1]CONV-INVESTIGACIONES'!G123</f>
        <v>60106</v>
      </c>
      <c r="B319" s="61" t="s">
        <v>550</v>
      </c>
      <c r="C319" s="58">
        <f>+'[1]CONV-INVESTIGACIONES'!L123</f>
        <v>52752700</v>
      </c>
    </row>
    <row r="320" spans="1:3" ht="24" x14ac:dyDescent="0.2">
      <c r="A320" s="56">
        <f>+'[1]CONV-INVESTIGACIONES'!G124</f>
        <v>60107</v>
      </c>
      <c r="B320" s="61" t="s">
        <v>550</v>
      </c>
      <c r="C320" s="58">
        <f>+'[1]CONV-INVESTIGACIONES'!L124</f>
        <v>14666670</v>
      </c>
    </row>
    <row r="321" spans="1:3" ht="24" x14ac:dyDescent="0.2">
      <c r="A321" s="56">
        <f>+'[1]CONV-INVESTIGACIONES'!G125</f>
        <v>60107</v>
      </c>
      <c r="B321" s="61" t="s">
        <v>550</v>
      </c>
      <c r="C321" s="58">
        <f>+'[1]CONV-INVESTIGACIONES'!L125</f>
        <v>18772883</v>
      </c>
    </row>
    <row r="322" spans="1:3" ht="24" x14ac:dyDescent="0.2">
      <c r="A322" s="56">
        <f>+'[1]CONV-INVESTIGACIONES'!G126</f>
        <v>60107</v>
      </c>
      <c r="B322" s="61" t="s">
        <v>550</v>
      </c>
      <c r="C322" s="58">
        <f>+'[1]CONV-INVESTIGACIONES'!L126</f>
        <v>6000000</v>
      </c>
    </row>
    <row r="323" spans="1:3" ht="24" x14ac:dyDescent="0.2">
      <c r="A323" s="56">
        <f>+'[1]CONV-INVESTIGACIONES'!G127</f>
        <v>60107</v>
      </c>
      <c r="B323" s="61" t="s">
        <v>550</v>
      </c>
      <c r="C323" s="58">
        <f>+'[1]CONV-INVESTIGACIONES'!L127</f>
        <v>1000000</v>
      </c>
    </row>
    <row r="324" spans="1:3" ht="24" x14ac:dyDescent="0.2">
      <c r="A324" s="56">
        <f>+'[1]CONV-INVESTIGACIONES'!G128</f>
        <v>60107</v>
      </c>
      <c r="B324" s="61" t="s">
        <v>550</v>
      </c>
      <c r="C324" s="58">
        <f>+'[1]CONV-INVESTIGACIONES'!L128</f>
        <v>22500000</v>
      </c>
    </row>
    <row r="325" spans="1:3" ht="24" x14ac:dyDescent="0.2">
      <c r="A325" s="56">
        <f>+'[1]CONV-INVESTIGACIONES'!G129</f>
        <v>60107</v>
      </c>
      <c r="B325" s="61" t="s">
        <v>550</v>
      </c>
      <c r="C325" s="58">
        <f>+'[1]CONV-INVESTIGACIONES'!L129</f>
        <v>17500000</v>
      </c>
    </row>
    <row r="326" spans="1:3" ht="24" x14ac:dyDescent="0.2">
      <c r="A326" s="56">
        <f>+'[1]CONV-INVESTIGACIONES'!G130</f>
        <v>60107</v>
      </c>
      <c r="B326" s="61" t="s">
        <v>550</v>
      </c>
      <c r="C326" s="58">
        <f>+'[1]CONV-INVESTIGACIONES'!L130</f>
        <v>10500000</v>
      </c>
    </row>
    <row r="327" spans="1:3" ht="24" x14ac:dyDescent="0.2">
      <c r="A327" s="56">
        <f>+'[1]CONV-INVESTIGACIONES'!G131</f>
        <v>60107</v>
      </c>
      <c r="B327" s="61" t="s">
        <v>550</v>
      </c>
      <c r="C327" s="58">
        <f>+'[1]CONV-INVESTIGACIONES'!L131</f>
        <v>8000000</v>
      </c>
    </row>
    <row r="328" spans="1:3" ht="24" x14ac:dyDescent="0.2">
      <c r="A328" s="56">
        <f>+'[1]CONV-INVESTIGACIONES'!G132</f>
        <v>60107</v>
      </c>
      <c r="B328" s="61" t="s">
        <v>550</v>
      </c>
      <c r="C328" s="58">
        <f>+'[1]CONV-INVESTIGACIONES'!L132</f>
        <v>6000000</v>
      </c>
    </row>
    <row r="329" spans="1:3" ht="24" x14ac:dyDescent="0.2">
      <c r="A329" s="56">
        <f>+'[1]CONV-INVESTIGACIONES'!G133</f>
        <v>60107</v>
      </c>
      <c r="B329" s="61" t="s">
        <v>550</v>
      </c>
      <c r="C329" s="58">
        <f>+'[1]CONV-INVESTIGACIONES'!L133</f>
        <v>6000000</v>
      </c>
    </row>
    <row r="330" spans="1:3" ht="24" x14ac:dyDescent="0.2">
      <c r="A330" s="56">
        <f>+'[1]CONV-INVESTIGACIONES'!G134</f>
        <v>60107</v>
      </c>
      <c r="B330" s="61" t="s">
        <v>550</v>
      </c>
      <c r="C330" s="58">
        <f>+'[1]CONV-INVESTIGACIONES'!L134</f>
        <v>3200000</v>
      </c>
    </row>
    <row r="331" spans="1:3" ht="24" x14ac:dyDescent="0.2">
      <c r="A331" s="56">
        <f>+'[1]CONV-INVESTIGACIONES'!G135</f>
        <v>60107</v>
      </c>
      <c r="B331" s="61" t="s">
        <v>550</v>
      </c>
      <c r="C331" s="58">
        <f>+'[1]CONV-INVESTIGACIONES'!L135</f>
        <v>2400000</v>
      </c>
    </row>
    <row r="332" spans="1:3" ht="24" x14ac:dyDescent="0.2">
      <c r="A332" s="56">
        <f>+'[1]CONV-INVESTIGACIONES'!G136</f>
        <v>60107</v>
      </c>
      <c r="B332" s="61" t="s">
        <v>550</v>
      </c>
      <c r="C332" s="58">
        <f>+'[1]CONV-INVESTIGACIONES'!L136</f>
        <v>2400000</v>
      </c>
    </row>
    <row r="333" spans="1:3" ht="24" x14ac:dyDescent="0.2">
      <c r="A333" s="56">
        <f>+'[1]CONV-INVESTIGACIONES'!G137</f>
        <v>60107</v>
      </c>
      <c r="B333" s="61" t="s">
        <v>550</v>
      </c>
      <c r="C333" s="58">
        <f>+'[1]CONV-INVESTIGACIONES'!L137</f>
        <v>2100000</v>
      </c>
    </row>
    <row r="334" spans="1:3" ht="24" x14ac:dyDescent="0.2">
      <c r="A334" s="56">
        <f>+'[1]CONV-INVESTIGACIONES'!G138</f>
        <v>60107</v>
      </c>
      <c r="B334" s="61" t="s">
        <v>550</v>
      </c>
      <c r="C334" s="58">
        <f>+'[1]CONV-INVESTIGACIONES'!L138</f>
        <v>1803270</v>
      </c>
    </row>
    <row r="335" spans="1:3" ht="24" x14ac:dyDescent="0.2">
      <c r="A335" s="56">
        <f>+'[1]CONV-INVESTIGACIONES'!G139</f>
        <v>60107</v>
      </c>
      <c r="B335" s="61" t="s">
        <v>550</v>
      </c>
      <c r="C335" s="58">
        <f>+'[1]CONV-INVESTIGACIONES'!L139</f>
        <v>14000000</v>
      </c>
    </row>
    <row r="336" spans="1:3" ht="24" x14ac:dyDescent="0.2">
      <c r="A336" s="56">
        <f>+'[1]CONV-INVESTIGACIONES'!G140</f>
        <v>60107</v>
      </c>
      <c r="B336" s="61" t="s">
        <v>550</v>
      </c>
      <c r="C336" s="58">
        <f>+'[1]CONV-INVESTIGACIONES'!L140</f>
        <v>2500000</v>
      </c>
    </row>
    <row r="337" spans="1:3" ht="24" x14ac:dyDescent="0.2">
      <c r="A337" s="56">
        <f>+'[1]CONV-INVESTIGACIONES'!G141</f>
        <v>60107</v>
      </c>
      <c r="B337" s="61" t="s">
        <v>550</v>
      </c>
      <c r="C337" s="58">
        <f>+'[1]CONV-INVESTIGACIONES'!L141</f>
        <v>6900000</v>
      </c>
    </row>
    <row r="338" spans="1:3" ht="24" x14ac:dyDescent="0.2">
      <c r="A338" s="56">
        <f>+'[1]CONV-INVESTIGACIONES'!G142</f>
        <v>60107</v>
      </c>
      <c r="B338" s="61" t="s">
        <v>550</v>
      </c>
      <c r="C338" s="58">
        <f>+'[1]CONV-INVESTIGACIONES'!L142</f>
        <v>1270264</v>
      </c>
    </row>
    <row r="339" spans="1:3" ht="24" x14ac:dyDescent="0.2">
      <c r="A339" s="56">
        <f>+'[1]CONV-INVESTIGACIONES'!G143</f>
        <v>60107</v>
      </c>
      <c r="B339" s="61" t="s">
        <v>550</v>
      </c>
      <c r="C339" s="58">
        <f>+'[1]CONV-INVESTIGACIONES'!L143</f>
        <v>9000000</v>
      </c>
    </row>
    <row r="340" spans="1:3" ht="24" x14ac:dyDescent="0.2">
      <c r="A340" s="56">
        <f>+'[1]CONV-INVESTIGACIONES'!G144</f>
        <v>60107</v>
      </c>
      <c r="B340" s="61" t="s">
        <v>550</v>
      </c>
      <c r="C340" s="58">
        <f>+'[1]CONV-INVESTIGACIONES'!L144</f>
        <v>909500</v>
      </c>
    </row>
    <row r="341" spans="1:3" ht="24" x14ac:dyDescent="0.2">
      <c r="A341" s="56">
        <f>+'[1]CONV-INVESTIGACIONES'!G145</f>
        <v>60107</v>
      </c>
      <c r="B341" s="61" t="s">
        <v>550</v>
      </c>
      <c r="C341" s="58">
        <f>+'[1]CONV-INVESTIGACIONES'!L145</f>
        <v>4438700</v>
      </c>
    </row>
    <row r="342" spans="1:3" ht="24" x14ac:dyDescent="0.2">
      <c r="A342" s="56">
        <f>+'[1]CONV-INVESTIGACIONES'!G146</f>
        <v>60107</v>
      </c>
      <c r="B342" s="61" t="s">
        <v>550</v>
      </c>
      <c r="C342" s="58">
        <f>+'[1]CONV-INVESTIGACIONES'!L146</f>
        <v>3948420</v>
      </c>
    </row>
    <row r="343" spans="1:3" ht="24" x14ac:dyDescent="0.2">
      <c r="A343" s="56">
        <f>+'[1]CONV-INVESTIGACIONES'!G147</f>
        <v>60107</v>
      </c>
      <c r="B343" s="61" t="s">
        <v>550</v>
      </c>
      <c r="C343" s="58">
        <f>+'[1]CONV-INVESTIGACIONES'!L147</f>
        <v>600000</v>
      </c>
    </row>
    <row r="344" spans="1:3" ht="24" x14ac:dyDescent="0.2">
      <c r="A344" s="56">
        <f>+'[1]CONV-INVESTIGACIONES'!G148</f>
        <v>60107</v>
      </c>
      <c r="B344" s="61" t="s">
        <v>550</v>
      </c>
      <c r="C344" s="58">
        <f>+'[1]CONV-INVESTIGACIONES'!L148</f>
        <v>5600000</v>
      </c>
    </row>
    <row r="345" spans="1:3" ht="24" x14ac:dyDescent="0.2">
      <c r="A345" s="56">
        <f>+'[1]CONV-INVESTIGACIONES'!G149</f>
        <v>60107</v>
      </c>
      <c r="B345" s="61" t="s">
        <v>550</v>
      </c>
      <c r="C345" s="58">
        <f>+'[1]CONV-INVESTIGACIONES'!L149</f>
        <v>164730354</v>
      </c>
    </row>
    <row r="346" spans="1:3" ht="24" x14ac:dyDescent="0.2">
      <c r="A346" s="56">
        <f>+'[1]CONV-INVESTIGACIONES'!G150</f>
        <v>60107</v>
      </c>
      <c r="B346" s="61" t="s">
        <v>550</v>
      </c>
      <c r="C346" s="58">
        <f>+'[1]CONV-INVESTIGACIONES'!L150</f>
        <v>65000000</v>
      </c>
    </row>
    <row r="347" spans="1:3" ht="24" x14ac:dyDescent="0.2">
      <c r="A347" s="56">
        <f>+'[1]CONV-INVESTIGACIONES'!G151</f>
        <v>60107</v>
      </c>
      <c r="B347" s="61" t="s">
        <v>550</v>
      </c>
      <c r="C347" s="58">
        <f>+'[1]CONV-INVESTIGACIONES'!L151</f>
        <v>3720000</v>
      </c>
    </row>
    <row r="348" spans="1:3" ht="24" x14ac:dyDescent="0.2">
      <c r="A348" s="56">
        <f>+'[1]CONV-INVESTIGACIONES'!G152</f>
        <v>60107</v>
      </c>
      <c r="B348" s="61" t="s">
        <v>550</v>
      </c>
      <c r="C348" s="58">
        <f>+'[1]CONV-INVESTIGACIONES'!L152</f>
        <v>733278</v>
      </c>
    </row>
    <row r="349" spans="1:3" ht="24" x14ac:dyDescent="0.2">
      <c r="A349" s="56">
        <f>+'[1]CONV-INVESTIGACIONES'!G153</f>
        <v>60107</v>
      </c>
      <c r="B349" s="61" t="s">
        <v>550</v>
      </c>
      <c r="C349" s="58">
        <f>+'[1]CONV-INVESTIGACIONES'!L153</f>
        <v>800000</v>
      </c>
    </row>
    <row r="350" spans="1:3" ht="24" x14ac:dyDescent="0.2">
      <c r="A350" s="56">
        <f>+'[1]CONV-INVESTIGACIONES'!G154</f>
        <v>60107</v>
      </c>
      <c r="B350" s="61" t="s">
        <v>550</v>
      </c>
      <c r="C350" s="58">
        <f>+'[1]CONV-INVESTIGACIONES'!L154</f>
        <v>800000</v>
      </c>
    </row>
    <row r="351" spans="1:3" ht="24" x14ac:dyDescent="0.2">
      <c r="A351" s="56">
        <f>+'[1]CONV-INVESTIGACIONES'!G155</f>
        <v>60107</v>
      </c>
      <c r="B351" s="61" t="s">
        <v>550</v>
      </c>
      <c r="C351" s="58">
        <f>+'[1]CONV-INVESTIGACIONES'!L155</f>
        <v>3240000</v>
      </c>
    </row>
    <row r="352" spans="1:3" ht="24" x14ac:dyDescent="0.2">
      <c r="A352" s="56">
        <f>+'[1]CONV-INVESTIGACIONES'!G156</f>
        <v>60107</v>
      </c>
      <c r="B352" s="61" t="s">
        <v>550</v>
      </c>
      <c r="C352" s="58">
        <f>+'[1]CONV-INVESTIGACIONES'!L156</f>
        <v>3240000</v>
      </c>
    </row>
    <row r="353" spans="1:3" ht="24" x14ac:dyDescent="0.2">
      <c r="A353" s="56">
        <f>+'[1]CONV-INVESTIGACIONES'!G157</f>
        <v>60107</v>
      </c>
      <c r="B353" s="61" t="s">
        <v>550</v>
      </c>
      <c r="C353" s="58">
        <f>+'[1]CONV-INVESTIGACIONES'!L157</f>
        <v>2300000</v>
      </c>
    </row>
    <row r="354" spans="1:3" ht="24" x14ac:dyDescent="0.2">
      <c r="A354" s="56">
        <f>+'[1]CONV-INVESTIGACIONES'!G158</f>
        <v>60107</v>
      </c>
      <c r="B354" s="61" t="s">
        <v>550</v>
      </c>
      <c r="C354" s="58">
        <f>+'[1]CONV-INVESTIGACIONES'!L158</f>
        <v>2300000</v>
      </c>
    </row>
    <row r="355" spans="1:3" ht="24" x14ac:dyDescent="0.2">
      <c r="A355" s="56">
        <f>+'[1]CONV-INVESTIGACIONES'!G159</f>
        <v>60107</v>
      </c>
      <c r="B355" s="61" t="s">
        <v>550</v>
      </c>
      <c r="C355" s="58">
        <f>+'[1]CONV-INVESTIGACIONES'!L159</f>
        <v>10000000</v>
      </c>
    </row>
    <row r="356" spans="1:3" ht="24" x14ac:dyDescent="0.2">
      <c r="A356" s="56">
        <f>+'[1]CONV-INVESTIGACIONES'!G160</f>
        <v>60107</v>
      </c>
      <c r="B356" s="61" t="s">
        <v>550</v>
      </c>
      <c r="C356" s="58">
        <f>+'[1]CONV-INVESTIGACIONES'!L160</f>
        <v>726000</v>
      </c>
    </row>
    <row r="357" spans="1:3" ht="24" x14ac:dyDescent="0.2">
      <c r="A357" s="56">
        <f>+'[1]CONV-INVESTIGACIONES'!G161</f>
        <v>60107</v>
      </c>
      <c r="B357" s="61" t="s">
        <v>550</v>
      </c>
      <c r="C357" s="58">
        <f>+'[1]CONV-INVESTIGACIONES'!L161</f>
        <v>2109037</v>
      </c>
    </row>
    <row r="358" spans="1:3" ht="24" x14ac:dyDescent="0.2">
      <c r="A358" s="56">
        <f>+'[1]CONV-INVESTIGACIONES'!G162</f>
        <v>60107</v>
      </c>
      <c r="B358" s="61" t="s">
        <v>550</v>
      </c>
      <c r="C358" s="58">
        <f>+'[1]CONV-INVESTIGACIONES'!L162</f>
        <v>6126495</v>
      </c>
    </row>
    <row r="359" spans="1:3" ht="24" x14ac:dyDescent="0.2">
      <c r="A359" s="56">
        <f>+'[1]CONV-INVESTIGACIONES'!G163</f>
        <v>60107</v>
      </c>
      <c r="B359" s="61" t="s">
        <v>550</v>
      </c>
      <c r="C359" s="58">
        <f>+'[1]CONV-INVESTIGACIONES'!L163</f>
        <v>2698980</v>
      </c>
    </row>
    <row r="360" spans="1:3" ht="24" x14ac:dyDescent="0.2">
      <c r="A360" s="56">
        <f>+'[1]CONV-INVESTIGACIONES'!G164</f>
        <v>60107</v>
      </c>
      <c r="B360" s="61" t="s">
        <v>550</v>
      </c>
      <c r="C360" s="58">
        <f>+'[1]CONV-INVESTIGACIONES'!L164</f>
        <v>10000000</v>
      </c>
    </row>
    <row r="361" spans="1:3" ht="24" x14ac:dyDescent="0.2">
      <c r="A361" s="56">
        <f>+'[1]CONV-INVESTIGACIONES'!G165</f>
        <v>60107</v>
      </c>
      <c r="B361" s="61" t="s">
        <v>550</v>
      </c>
      <c r="C361" s="58">
        <f>+'[1]CONV-INVESTIGACIONES'!L165</f>
        <v>3500000</v>
      </c>
    </row>
    <row r="362" spans="1:3" ht="24" x14ac:dyDescent="0.2">
      <c r="A362" s="56">
        <f>+'[1]CONV-INVESTIGACIONES'!G166</f>
        <v>60107</v>
      </c>
      <c r="B362" s="61" t="s">
        <v>550</v>
      </c>
      <c r="C362" s="58">
        <f>+'[1]CONV-INVESTIGACIONES'!L166</f>
        <v>14752200</v>
      </c>
    </row>
    <row r="363" spans="1:3" ht="24" x14ac:dyDescent="0.2">
      <c r="A363" s="56">
        <f>+'[1]CONV-INVESTIGACIONES'!G167</f>
        <v>60107</v>
      </c>
      <c r="B363" s="61" t="s">
        <v>550</v>
      </c>
      <c r="C363" s="58">
        <f>+'[1]CONV-INVESTIGACIONES'!L167</f>
        <v>11945339</v>
      </c>
    </row>
    <row r="364" spans="1:3" ht="24" x14ac:dyDescent="0.2">
      <c r="A364" s="56">
        <f>+'[1]CONV-INVESTIGACIONES'!G168</f>
        <v>60107</v>
      </c>
      <c r="B364" s="61" t="s">
        <v>550</v>
      </c>
      <c r="C364" s="58">
        <f>+'[1]CONV-INVESTIGACIONES'!L168</f>
        <v>11232083</v>
      </c>
    </row>
    <row r="365" spans="1:3" ht="24" x14ac:dyDescent="0.2">
      <c r="A365" s="56">
        <f>+'[1]CONV-INVESTIGACIONES'!G169</f>
        <v>60107</v>
      </c>
      <c r="B365" s="61" t="s">
        <v>550</v>
      </c>
      <c r="C365" s="58">
        <f>+'[1]CONV-INVESTIGACIONES'!L169</f>
        <v>805511</v>
      </c>
    </row>
    <row r="366" spans="1:3" ht="24" x14ac:dyDescent="0.2">
      <c r="A366" s="56">
        <f>+'[1]CONV-INVESTIGACIONES'!G170</f>
        <v>60107</v>
      </c>
      <c r="B366" s="61" t="s">
        <v>550</v>
      </c>
      <c r="C366" s="58">
        <f>+'[1]CONV-INVESTIGACIONES'!L170</f>
        <v>3891300</v>
      </c>
    </row>
    <row r="367" spans="1:3" ht="24" x14ac:dyDescent="0.2">
      <c r="A367" s="56">
        <f>+'[1]CONV-INVESTIGACIONES'!G171</f>
        <v>60107</v>
      </c>
      <c r="B367" s="61" t="s">
        <v>550</v>
      </c>
      <c r="C367" s="58">
        <f>+'[1]CONV-INVESTIGACIONES'!L171</f>
        <v>1735000</v>
      </c>
    </row>
    <row r="368" spans="1:3" ht="24" x14ac:dyDescent="0.2">
      <c r="A368" s="56">
        <f>+'[1]CONV-INVESTIGACIONES'!G172</f>
        <v>60107</v>
      </c>
      <c r="B368" s="61" t="s">
        <v>550</v>
      </c>
      <c r="C368" s="58">
        <f>+'[1]CONV-INVESTIGACIONES'!L172</f>
        <v>48000000</v>
      </c>
    </row>
    <row r="369" spans="1:3" ht="24" x14ac:dyDescent="0.2">
      <c r="A369" s="56">
        <f>+'[1]CONV-INVESTIGACIONES'!G173</f>
        <v>60107</v>
      </c>
      <c r="B369" s="61" t="s">
        <v>550</v>
      </c>
      <c r="C369" s="58">
        <f>+'[1]CONV-INVESTIGACIONES'!L173</f>
        <v>1279398</v>
      </c>
    </row>
    <row r="370" spans="1:3" ht="24" x14ac:dyDescent="0.2">
      <c r="A370" s="56">
        <f>+'[1]CONV-INVESTIGACIONES'!G174</f>
        <v>60107</v>
      </c>
      <c r="B370" s="61" t="s">
        <v>550</v>
      </c>
      <c r="C370" s="58">
        <f>+'[1]CONV-INVESTIGACIONES'!L174</f>
        <v>80533997</v>
      </c>
    </row>
    <row r="371" spans="1:3" ht="24" x14ac:dyDescent="0.2">
      <c r="A371" s="56">
        <f>+'[1]CONV-INVESTIGACIONES'!G175</f>
        <v>60107</v>
      </c>
      <c r="B371" s="61" t="s">
        <v>550</v>
      </c>
      <c r="C371" s="58">
        <f>+'[1]CONV-INVESTIGACIONES'!L175</f>
        <v>42695889</v>
      </c>
    </row>
    <row r="372" spans="1:3" ht="24" x14ac:dyDescent="0.2">
      <c r="A372" s="56">
        <f>+'[1]CONV-INVESTIGACIONES'!G176</f>
        <v>60107</v>
      </c>
      <c r="B372" s="61" t="s">
        <v>550</v>
      </c>
      <c r="C372" s="58">
        <f>+'[1]CONV-INVESTIGACIONES'!L176</f>
        <v>1699320</v>
      </c>
    </row>
    <row r="373" spans="1:3" ht="24" x14ac:dyDescent="0.2">
      <c r="A373" s="56">
        <f>+'[1]CONV-INVESTIGACIONES'!G177</f>
        <v>60107</v>
      </c>
      <c r="B373" s="61" t="s">
        <v>550</v>
      </c>
      <c r="C373" s="58">
        <f>+'[1]CONV-INVESTIGACIONES'!L177</f>
        <v>577150</v>
      </c>
    </row>
    <row r="374" spans="1:3" ht="24" x14ac:dyDescent="0.2">
      <c r="A374" s="56">
        <f>+'[1]CONV-INVESTIGACIONES'!G178</f>
        <v>60107</v>
      </c>
      <c r="B374" s="61" t="s">
        <v>550</v>
      </c>
      <c r="C374" s="58">
        <f>+'[1]CONV-INVESTIGACIONES'!L178</f>
        <v>2538500</v>
      </c>
    </row>
    <row r="375" spans="1:3" ht="24" x14ac:dyDescent="0.2">
      <c r="A375" s="56">
        <f>+'[1]CONV-INVESTIGACIONES'!G179</f>
        <v>60107</v>
      </c>
      <c r="B375" s="61" t="s">
        <v>550</v>
      </c>
      <c r="C375" s="58">
        <f>+'[1]CONV-INVESTIGACIONES'!L179</f>
        <v>2538500</v>
      </c>
    </row>
    <row r="376" spans="1:3" ht="24" x14ac:dyDescent="0.2">
      <c r="A376" s="56">
        <f>+'[1]CONV-INVESTIGACIONES'!G180</f>
        <v>60107</v>
      </c>
      <c r="B376" s="61" t="s">
        <v>550</v>
      </c>
      <c r="C376" s="58">
        <f>+'[1]CONV-INVESTIGACIONES'!L180</f>
        <v>1213800</v>
      </c>
    </row>
    <row r="377" spans="1:3" ht="24" x14ac:dyDescent="0.2">
      <c r="A377" s="56">
        <f>+'[1]CONV-INVESTIGACIONES'!G181</f>
        <v>60107</v>
      </c>
      <c r="B377" s="61" t="s">
        <v>550</v>
      </c>
      <c r="C377" s="58">
        <f>+'[1]CONV-INVESTIGACIONES'!L181</f>
        <v>1400000</v>
      </c>
    </row>
    <row r="378" spans="1:3" ht="24" x14ac:dyDescent="0.2">
      <c r="A378" s="56">
        <f>+'[1]CONV-INVESTIGACIONES'!G182</f>
        <v>60107</v>
      </c>
      <c r="B378" s="62" t="s">
        <v>550</v>
      </c>
      <c r="C378" s="58">
        <f>+'[1]CONV-INVESTIGACIONES'!L182</f>
        <v>3200000</v>
      </c>
    </row>
    <row r="379" spans="1:3" ht="24" x14ac:dyDescent="0.2">
      <c r="A379" s="56">
        <f>+'[1]CONV-INVESTIGACIONES'!G183</f>
        <v>60107</v>
      </c>
      <c r="B379" s="62" t="s">
        <v>550</v>
      </c>
      <c r="C379" s="58">
        <f>+'[1]CONV-INVESTIGACIONES'!L183</f>
        <v>2206722</v>
      </c>
    </row>
    <row r="380" spans="1:3" ht="24" x14ac:dyDescent="0.2">
      <c r="A380" s="56">
        <f>+'[1]CONV-INVESTIGACIONES'!G184</f>
        <v>60107</v>
      </c>
      <c r="B380" s="62" t="s">
        <v>550</v>
      </c>
      <c r="C380" s="58">
        <f>+'[1]CONV-INVESTIGACIONES'!L184</f>
        <v>1113602</v>
      </c>
    </row>
    <row r="381" spans="1:3" ht="24" x14ac:dyDescent="0.2">
      <c r="A381" s="56">
        <f>+'[1]CONV-INVESTIGACIONES'!G185</f>
        <v>60107</v>
      </c>
      <c r="B381" s="62" t="s">
        <v>550</v>
      </c>
      <c r="C381" s="58">
        <f>+'[1]CONV-INVESTIGACIONES'!L185</f>
        <v>701743</v>
      </c>
    </row>
    <row r="382" spans="1:3" ht="24" x14ac:dyDescent="0.2">
      <c r="A382" s="56">
        <f>+'[1]CONV-INVESTIGACIONES'!G186</f>
        <v>60107</v>
      </c>
      <c r="B382" s="62" t="s">
        <v>550</v>
      </c>
      <c r="C382" s="58">
        <f>+'[1]CONV-INVESTIGACIONES'!L186</f>
        <v>1606500</v>
      </c>
    </row>
    <row r="383" spans="1:3" ht="24" x14ac:dyDescent="0.2">
      <c r="A383" s="56">
        <f>+'[1]CONV-INVESTIGACIONES'!G187</f>
        <v>60107</v>
      </c>
      <c r="B383" s="62" t="s">
        <v>550</v>
      </c>
      <c r="C383" s="58">
        <f>+'[1]CONV-INVESTIGACIONES'!L187</f>
        <v>3324860</v>
      </c>
    </row>
    <row r="384" spans="1:3" ht="24" x14ac:dyDescent="0.2">
      <c r="A384" s="56">
        <f>+'[1]CONV-INVESTIGACIONES'!G188</f>
        <v>60107</v>
      </c>
      <c r="B384" s="62" t="s">
        <v>550</v>
      </c>
      <c r="C384" s="58">
        <f>+'[1]CONV-INVESTIGACIONES'!L188</f>
        <v>1113126</v>
      </c>
    </row>
    <row r="385" spans="1:3" ht="24" x14ac:dyDescent="0.2">
      <c r="A385" s="56">
        <f>+'[1]CONV-INVESTIGACIONES'!G189</f>
        <v>60107</v>
      </c>
      <c r="B385" s="62" t="s">
        <v>550</v>
      </c>
      <c r="C385" s="58">
        <f>+'[1]CONV-INVESTIGACIONES'!L189</f>
        <v>1812370</v>
      </c>
    </row>
    <row r="386" spans="1:3" ht="24" x14ac:dyDescent="0.2">
      <c r="A386" s="56">
        <f>+'[1]CONV-INVESTIGACIONES'!G190</f>
        <v>60107</v>
      </c>
      <c r="B386" s="62" t="s">
        <v>550</v>
      </c>
      <c r="C386" s="58">
        <f>+'[1]CONV-INVESTIGACIONES'!L190</f>
        <v>472192</v>
      </c>
    </row>
    <row r="387" spans="1:3" ht="24" x14ac:dyDescent="0.2">
      <c r="A387" s="56">
        <f>+'[1]CONV-INVESTIGACIONES'!G191</f>
        <v>60107</v>
      </c>
      <c r="B387" s="62" t="s">
        <v>550</v>
      </c>
      <c r="C387" s="58">
        <f>+'[1]CONV-INVESTIGACIONES'!L191</f>
        <v>2300000</v>
      </c>
    </row>
    <row r="388" spans="1:3" ht="24" x14ac:dyDescent="0.2">
      <c r="A388" s="56">
        <f>+'[1]CONV-INVESTIGACIONES'!G192</f>
        <v>60108</v>
      </c>
      <c r="B388" s="62" t="s">
        <v>550</v>
      </c>
      <c r="C388" s="58">
        <f>+'[1]CONV-INVESTIGACIONES'!L192</f>
        <v>3787497</v>
      </c>
    </row>
    <row r="389" spans="1:3" ht="24" x14ac:dyDescent="0.2">
      <c r="A389" s="56">
        <f>+'[1]CONV-INVESTIGACIONES'!G193</f>
        <v>60108</v>
      </c>
      <c r="B389" s="62" t="s">
        <v>550</v>
      </c>
      <c r="C389" s="58">
        <f>+'[1]CONV-INVESTIGACIONES'!L193</f>
        <v>3787497</v>
      </c>
    </row>
    <row r="390" spans="1:3" ht="24" x14ac:dyDescent="0.2">
      <c r="A390" s="56">
        <f>+'[1]CONV-INVESTIGACIONES'!G194</f>
        <v>60108</v>
      </c>
      <c r="B390" s="62" t="s">
        <v>550</v>
      </c>
      <c r="C390" s="58">
        <f>+'[1]CONV-INVESTIGACIONES'!L194</f>
        <v>3000000</v>
      </c>
    </row>
    <row r="391" spans="1:3" ht="24" x14ac:dyDescent="0.2">
      <c r="A391" s="56">
        <f>+'[1]CONV-INVESTIGACIONES'!G195</f>
        <v>60109</v>
      </c>
      <c r="B391" s="62" t="s">
        <v>550</v>
      </c>
      <c r="C391" s="58">
        <f>+'[1]CONV-INVESTIGACIONES'!L195</f>
        <v>3343602</v>
      </c>
    </row>
    <row r="392" spans="1:3" ht="24" x14ac:dyDescent="0.2">
      <c r="A392" s="56">
        <f>+'[1]CONV-INVESTIGACIONES'!G196</f>
        <v>60109</v>
      </c>
      <c r="B392" s="62" t="s">
        <v>550</v>
      </c>
      <c r="C392" s="58">
        <f>+'[1]CONV-INVESTIGACIONES'!L196</f>
        <v>4700000</v>
      </c>
    </row>
    <row r="393" spans="1:3" ht="24" x14ac:dyDescent="0.2">
      <c r="A393" s="56">
        <f>+'[1]CONV-INVESTIGACIONES'!G197</f>
        <v>60109</v>
      </c>
      <c r="B393" s="62" t="s">
        <v>550</v>
      </c>
      <c r="C393" s="58">
        <f>+'[1]CONV-INVESTIGACIONES'!L197</f>
        <v>73400000</v>
      </c>
    </row>
    <row r="394" spans="1:3" ht="24" x14ac:dyDescent="0.2">
      <c r="A394" s="56">
        <f>+'[1]CONV-INVESTIGACIONES'!G198</f>
        <v>60109</v>
      </c>
      <c r="B394" s="62" t="s">
        <v>550</v>
      </c>
      <c r="C394" s="58">
        <f>+'[1]CONV-INVESTIGACIONES'!L198</f>
        <v>8000000</v>
      </c>
    </row>
    <row r="395" spans="1:3" ht="24" x14ac:dyDescent="0.2">
      <c r="A395" s="56">
        <f>+'[1]CONV-INVESTIGACIONES'!G199</f>
        <v>60109</v>
      </c>
      <c r="B395" s="62" t="s">
        <v>550</v>
      </c>
      <c r="C395" s="58">
        <f>+'[1]CONV-INVESTIGACIONES'!L199</f>
        <v>1100000</v>
      </c>
    </row>
    <row r="396" spans="1:3" ht="24" x14ac:dyDescent="0.2">
      <c r="A396" s="56">
        <f>+'[1]CONV-INVESTIGACIONES'!G200</f>
        <v>60109</v>
      </c>
      <c r="B396" s="62" t="s">
        <v>550</v>
      </c>
      <c r="C396" s="58">
        <f>+'[1]CONV-INVESTIGACIONES'!L200</f>
        <v>1000000</v>
      </c>
    </row>
    <row r="397" spans="1:3" ht="24" x14ac:dyDescent="0.2">
      <c r="A397" s="56">
        <f>+'[1]CONV-INVESTIGACIONES'!G201</f>
        <v>60109</v>
      </c>
      <c r="B397" s="62" t="s">
        <v>550</v>
      </c>
      <c r="C397" s="58">
        <f>+'[1]CONV-INVESTIGACIONES'!L201</f>
        <v>2600000</v>
      </c>
    </row>
    <row r="398" spans="1:3" ht="24" x14ac:dyDescent="0.2">
      <c r="A398" s="56">
        <f>+'[1]CONV-INVESTIGACIONES'!G202</f>
        <v>60109</v>
      </c>
      <c r="B398" s="62" t="s">
        <v>550</v>
      </c>
      <c r="C398" s="58">
        <f>+'[1]CONV-INVESTIGACIONES'!L202</f>
        <v>515850</v>
      </c>
    </row>
    <row r="399" spans="1:3" ht="24" x14ac:dyDescent="0.2">
      <c r="A399" s="56">
        <f>+'[1]CONV-INVESTIGACIONES'!G203</f>
        <v>60109</v>
      </c>
      <c r="B399" s="62" t="s">
        <v>550</v>
      </c>
      <c r="C399" s="58">
        <f>+'[1]CONV-INVESTIGACIONES'!L203</f>
        <v>4900000</v>
      </c>
    </row>
    <row r="400" spans="1:3" ht="24" x14ac:dyDescent="0.2">
      <c r="A400" s="56">
        <f>+'[1]CONV-INVESTIGACIONES'!G204</f>
        <v>60109</v>
      </c>
      <c r="B400" s="62" t="s">
        <v>550</v>
      </c>
      <c r="C400" s="58">
        <f>+'[1]CONV-INVESTIGACIONES'!L204</f>
        <v>2400000</v>
      </c>
    </row>
    <row r="401" spans="1:3" ht="24" x14ac:dyDescent="0.2">
      <c r="A401" s="56">
        <f>+'[1]CONV-INVESTIGACIONES'!G205</f>
        <v>60109</v>
      </c>
      <c r="B401" s="62" t="s">
        <v>550</v>
      </c>
      <c r="C401" s="58">
        <f>+'[1]CONV-INVESTIGACIONES'!L205</f>
        <v>2400000</v>
      </c>
    </row>
    <row r="402" spans="1:3" ht="24" x14ac:dyDescent="0.2">
      <c r="A402" s="56">
        <f>+'[1]CONV-INVESTIGACIONES'!G206</f>
        <v>60109</v>
      </c>
      <c r="B402" s="62" t="s">
        <v>550</v>
      </c>
      <c r="C402" s="58">
        <f>+'[1]CONV-INVESTIGACIONES'!L206</f>
        <v>731850</v>
      </c>
    </row>
    <row r="403" spans="1:3" ht="24" x14ac:dyDescent="0.2">
      <c r="A403" s="56">
        <f>+'[1]CONV-INVESTIGACIONES'!G207</f>
        <v>60109</v>
      </c>
      <c r="B403" s="62" t="s">
        <v>550</v>
      </c>
      <c r="C403" s="58">
        <f>+'[1]CONV-INVESTIGACIONES'!L207</f>
        <v>2424000</v>
      </c>
    </row>
    <row r="404" spans="1:3" ht="24" x14ac:dyDescent="0.2">
      <c r="A404" s="56">
        <f>+'[1]CONV-INVESTIGACIONES'!G208</f>
        <v>60109</v>
      </c>
      <c r="B404" s="62" t="s">
        <v>550</v>
      </c>
      <c r="C404" s="58" t="str">
        <f>+'[1]CONV-INVESTIGACIONES'!L208</f>
        <v>1.135.928</v>
      </c>
    </row>
    <row r="405" spans="1:3" ht="24" x14ac:dyDescent="0.2">
      <c r="A405" s="56">
        <f>+'[1]CONV-INVESTIGACIONES'!G209</f>
        <v>60109</v>
      </c>
      <c r="B405" s="62" t="s">
        <v>550</v>
      </c>
      <c r="C405" s="58">
        <f>+'[1]CONV-INVESTIGACIONES'!L209</f>
        <v>251923</v>
      </c>
    </row>
    <row r="406" spans="1:3" ht="24" x14ac:dyDescent="0.2">
      <c r="A406" s="56">
        <f>+'[1]CONV-INVESTIGACIONES'!G210</f>
        <v>60109</v>
      </c>
      <c r="B406" s="62" t="s">
        <v>550</v>
      </c>
      <c r="C406" s="58">
        <f>+'[1]CONV-INVESTIGACIONES'!L210</f>
        <v>3492270</v>
      </c>
    </row>
    <row r="407" spans="1:3" ht="24" x14ac:dyDescent="0.2">
      <c r="A407" s="56">
        <f>+'[1]CONV-INVESTIGACIONES'!G211</f>
        <v>60109</v>
      </c>
      <c r="B407" s="62" t="s">
        <v>550</v>
      </c>
      <c r="C407" s="58">
        <f>+'[1]CONV-INVESTIGACIONES'!L211</f>
        <v>664040</v>
      </c>
    </row>
    <row r="408" spans="1:3" ht="24" x14ac:dyDescent="0.2">
      <c r="A408" s="56">
        <f>+'[1]CONV-INVESTIGACIONES'!G212</f>
        <v>60109</v>
      </c>
      <c r="B408" s="62" t="s">
        <v>550</v>
      </c>
      <c r="C408" s="58" t="str">
        <f>+'[1]CONV-INVESTIGACIONES'!L212</f>
        <v>1.542.192</v>
      </c>
    </row>
    <row r="409" spans="1:3" ht="24" x14ac:dyDescent="0.2">
      <c r="A409" s="56">
        <f>+'[1]CONV-INVESTIGACIONES'!G213</f>
        <v>60109</v>
      </c>
      <c r="B409" s="62" t="s">
        <v>550</v>
      </c>
      <c r="C409" s="58">
        <f>+'[1]CONV-INVESTIGACIONES'!L213</f>
        <v>716975</v>
      </c>
    </row>
    <row r="410" spans="1:3" ht="24" x14ac:dyDescent="0.2">
      <c r="A410" s="56">
        <f>+'[1]CONV-INVESTIGACIONES'!G214</f>
        <v>60109</v>
      </c>
      <c r="B410" s="62" t="s">
        <v>550</v>
      </c>
      <c r="C410" s="58">
        <f>+'[1]CONV-INVESTIGACIONES'!L214</f>
        <v>1381840</v>
      </c>
    </row>
    <row r="411" spans="1:3" ht="24" x14ac:dyDescent="0.2">
      <c r="A411" s="56">
        <f>+'[1]CONV-INVESTIGACIONES'!G215</f>
        <v>60109</v>
      </c>
      <c r="B411" s="62" t="s">
        <v>550</v>
      </c>
      <c r="C411" s="58">
        <f>+'[1]CONV-INVESTIGACIONES'!L215</f>
        <v>1439305</v>
      </c>
    </row>
    <row r="412" spans="1:3" ht="24" x14ac:dyDescent="0.2">
      <c r="A412" s="56">
        <f>+'[1]CONV-INVESTIGACIONES'!G216</f>
        <v>60109</v>
      </c>
      <c r="B412" s="62" t="s">
        <v>550</v>
      </c>
      <c r="C412" s="58">
        <f>+'[1]CONV-INVESTIGACIONES'!L216</f>
        <v>8944047</v>
      </c>
    </row>
    <row r="413" spans="1:3" ht="24" x14ac:dyDescent="0.2">
      <c r="A413" s="56">
        <f>+'[1]CONV-INVESTIGACIONES'!G217</f>
        <v>60109</v>
      </c>
      <c r="B413" s="62" t="s">
        <v>550</v>
      </c>
      <c r="C413" s="58">
        <f>+'[1]CONV-INVESTIGACIONES'!L217</f>
        <v>588657</v>
      </c>
    </row>
    <row r="414" spans="1:3" ht="24" x14ac:dyDescent="0.2">
      <c r="A414" s="56">
        <f>+'[1]CONV-INVESTIGACIONES'!G218</f>
        <v>60109</v>
      </c>
      <c r="B414" s="62" t="s">
        <v>550</v>
      </c>
      <c r="C414" s="58">
        <f>+'[1]CONV-INVESTIGACIONES'!L218</f>
        <v>773500</v>
      </c>
    </row>
    <row r="415" spans="1:3" ht="24" x14ac:dyDescent="0.2">
      <c r="A415" s="56">
        <f>+'[1]CONV-INVESTIGACIONES'!G219</f>
        <v>60109</v>
      </c>
      <c r="B415" s="62" t="s">
        <v>550</v>
      </c>
      <c r="C415" s="58">
        <f>+'[1]CONV-INVESTIGACIONES'!L219</f>
        <v>4800000</v>
      </c>
    </row>
    <row r="416" spans="1:3" ht="24" x14ac:dyDescent="0.2">
      <c r="A416" s="56">
        <f>+'[1]CONV-INVESTIGACIONES'!G220</f>
        <v>60109</v>
      </c>
      <c r="B416" s="62" t="s">
        <v>550</v>
      </c>
      <c r="C416" s="58">
        <f>+'[1]CONV-INVESTIGACIONES'!L220</f>
        <v>126854</v>
      </c>
    </row>
    <row r="417" spans="1:3" ht="24" x14ac:dyDescent="0.2">
      <c r="A417" s="56">
        <f>+'[1]CONV-INVESTIGACIONES'!G221</f>
        <v>60109</v>
      </c>
      <c r="B417" s="62" t="s">
        <v>550</v>
      </c>
      <c r="C417" s="58">
        <f>+'[1]CONV-INVESTIGACIONES'!L221</f>
        <v>1136450</v>
      </c>
    </row>
    <row r="418" spans="1:3" ht="24" x14ac:dyDescent="0.2">
      <c r="A418" s="56">
        <f>+'[1]CONV-INVESTIGACIONES'!G222</f>
        <v>60109</v>
      </c>
      <c r="B418" s="62" t="s">
        <v>550</v>
      </c>
      <c r="C418" s="58">
        <f>+'[1]CONV-INVESTIGACIONES'!L222</f>
        <v>546210</v>
      </c>
    </row>
    <row r="419" spans="1:3" ht="24" x14ac:dyDescent="0.2">
      <c r="A419" s="56">
        <f>+'[1]CONV-INVESTIGACIONES'!G223</f>
        <v>60109</v>
      </c>
      <c r="B419" s="62" t="s">
        <v>550</v>
      </c>
      <c r="C419" s="58">
        <f>+'[1]CONV-INVESTIGACIONES'!L223</f>
        <v>440000</v>
      </c>
    </row>
    <row r="420" spans="1:3" ht="24" x14ac:dyDescent="0.2">
      <c r="A420" s="56">
        <f>+'[1]CONV-INVESTIGACIONES'!G224</f>
        <v>60109</v>
      </c>
      <c r="B420" s="62" t="s">
        <v>550</v>
      </c>
      <c r="C420" s="58">
        <f>+'[1]CONV-INVESTIGACIONES'!L224</f>
        <v>248000</v>
      </c>
    </row>
    <row r="421" spans="1:3" x14ac:dyDescent="0.2">
      <c r="A421" s="56">
        <v>60109</v>
      </c>
      <c r="B421" s="62" t="s">
        <v>566</v>
      </c>
      <c r="C421" s="58">
        <v>126854</v>
      </c>
    </row>
    <row r="422" spans="1:3" x14ac:dyDescent="0.2">
      <c r="A422" s="56">
        <v>60109</v>
      </c>
      <c r="B422" s="62" t="s">
        <v>566</v>
      </c>
      <c r="C422" s="58">
        <v>1136450</v>
      </c>
    </row>
    <row r="423" spans="1:3" x14ac:dyDescent="0.2">
      <c r="A423" s="56">
        <v>60109</v>
      </c>
      <c r="B423" s="62" t="s">
        <v>566</v>
      </c>
      <c r="C423" s="58">
        <v>546210</v>
      </c>
    </row>
    <row r="424" spans="1:3" x14ac:dyDescent="0.2">
      <c r="A424" s="56">
        <v>60109</v>
      </c>
      <c r="B424" s="62" t="s">
        <v>566</v>
      </c>
      <c r="C424" s="58">
        <v>440000</v>
      </c>
    </row>
    <row r="425" spans="1:3" x14ac:dyDescent="0.2">
      <c r="A425" s="56">
        <v>60109</v>
      </c>
      <c r="B425" s="62" t="s">
        <v>566</v>
      </c>
      <c r="C425" s="58">
        <v>248000</v>
      </c>
    </row>
    <row r="426" spans="1:3" ht="24" x14ac:dyDescent="0.2">
      <c r="A426" s="56">
        <f>+'[1]CONV-INVESTIGACIONES'!G225</f>
        <v>60201</v>
      </c>
      <c r="B426" s="62" t="s">
        <v>550</v>
      </c>
      <c r="C426" s="58">
        <f>+'[1]CONV-INVESTIGACIONES'!L225</f>
        <v>23569000</v>
      </c>
    </row>
    <row r="427" spans="1:3" ht="24" x14ac:dyDescent="0.2">
      <c r="A427" s="56">
        <f>+'[1]CONV-INVESTIGACIONES'!G226</f>
        <v>60201</v>
      </c>
      <c r="B427" s="62" t="s">
        <v>550</v>
      </c>
      <c r="C427" s="58">
        <f>+'[1]CONV-INVESTIGACIONES'!L226</f>
        <v>30000000</v>
      </c>
    </row>
    <row r="428" spans="1:3" ht="24" x14ac:dyDescent="0.2">
      <c r="A428" s="56">
        <f>+'[1]CONV-INVESTIGACIONES'!G227</f>
        <v>60201</v>
      </c>
      <c r="B428" s="62" t="s">
        <v>550</v>
      </c>
      <c r="C428" s="58">
        <f>+'[1]CONV-INVESTIGACIONES'!L227</f>
        <v>3360000</v>
      </c>
    </row>
    <row r="429" spans="1:3" ht="24" x14ac:dyDescent="0.2">
      <c r="A429" s="56">
        <f>+'[1]CONV-INVESTIGACIONES'!G228</f>
        <v>60201</v>
      </c>
      <c r="B429" s="62" t="s">
        <v>550</v>
      </c>
      <c r="C429" s="58">
        <f>+'[1]CONV-INVESTIGACIONES'!L228</f>
        <v>18000000</v>
      </c>
    </row>
    <row r="430" spans="1:3" ht="24" x14ac:dyDescent="0.2">
      <c r="A430" s="56">
        <f>+'[1]CONV-INVESTIGACIONES'!G229</f>
        <v>60201</v>
      </c>
      <c r="B430" s="62" t="s">
        <v>550</v>
      </c>
      <c r="C430" s="58">
        <f>+'[1]CONV-INVESTIGACIONES'!L229</f>
        <v>168000000</v>
      </c>
    </row>
    <row r="431" spans="1:3" ht="24" x14ac:dyDescent="0.2">
      <c r="A431" s="56">
        <f>+'[1]CONV-INVESTIGACIONES'!G230</f>
        <v>60201</v>
      </c>
      <c r="B431" s="62" t="s">
        <v>550</v>
      </c>
      <c r="C431" s="58">
        <f>+'[1]CONV-INVESTIGACIONES'!L230</f>
        <v>9000000</v>
      </c>
    </row>
    <row r="432" spans="1:3" ht="24" x14ac:dyDescent="0.2">
      <c r="A432" s="56">
        <f>+'[1]CONV-INVESTIGACIONES'!G231</f>
        <v>60201</v>
      </c>
      <c r="B432" s="62" t="s">
        <v>550</v>
      </c>
      <c r="C432" s="58">
        <f>+'[1]CONV-INVESTIGACIONES'!L231</f>
        <v>7170000</v>
      </c>
    </row>
    <row r="433" spans="1:3" ht="24" x14ac:dyDescent="0.2">
      <c r="A433" s="56">
        <f>+'[1]CONV-INVESTIGACIONES'!G232</f>
        <v>60201</v>
      </c>
      <c r="B433" s="62" t="s">
        <v>550</v>
      </c>
      <c r="C433" s="58">
        <f>+'[1]CONV-INVESTIGACIONES'!L232</f>
        <v>7170000</v>
      </c>
    </row>
    <row r="434" spans="1:3" ht="24" x14ac:dyDescent="0.2">
      <c r="A434" s="56">
        <f>+'[1]CONV-INVESTIGACIONES'!G233</f>
        <v>60201</v>
      </c>
      <c r="B434" s="62" t="s">
        <v>550</v>
      </c>
      <c r="C434" s="58">
        <f>+'[1]CONV-INVESTIGACIONES'!L233</f>
        <v>7170000</v>
      </c>
    </row>
    <row r="435" spans="1:3" ht="24" x14ac:dyDescent="0.2">
      <c r="A435" s="56">
        <f>+'[1]CONV-INVESTIGACIONES'!G234</f>
        <v>60201</v>
      </c>
      <c r="B435" s="62" t="s">
        <v>550</v>
      </c>
      <c r="C435" s="58">
        <f>+'[1]CONV-INVESTIGACIONES'!L234</f>
        <v>7170000</v>
      </c>
    </row>
    <row r="436" spans="1:3" ht="24" x14ac:dyDescent="0.2">
      <c r="A436" s="56">
        <f>+'[1]CONV-INVESTIGACIONES'!G235</f>
        <v>60201</v>
      </c>
      <c r="B436" s="62" t="s">
        <v>550</v>
      </c>
      <c r="C436" s="58">
        <f>+'[1]CONV-INVESTIGACIONES'!L235</f>
        <v>7170000</v>
      </c>
    </row>
    <row r="437" spans="1:3" ht="24" x14ac:dyDescent="0.2">
      <c r="A437" s="56">
        <f>+'[1]CONV-INVESTIGACIONES'!G236</f>
        <v>60201</v>
      </c>
      <c r="B437" s="62" t="s">
        <v>550</v>
      </c>
      <c r="C437" s="58">
        <f>+'[1]CONV-INVESTIGACIONES'!L236</f>
        <v>15870000</v>
      </c>
    </row>
    <row r="438" spans="1:3" ht="24" x14ac:dyDescent="0.2">
      <c r="A438" s="56">
        <f>+'[1]CONV-INVESTIGACIONES'!G237</f>
        <v>60201</v>
      </c>
      <c r="B438" s="62" t="s">
        <v>550</v>
      </c>
      <c r="C438" s="58">
        <f>+'[1]CONV-INVESTIGACIONES'!L237</f>
        <v>18000000</v>
      </c>
    </row>
    <row r="439" spans="1:3" ht="24" x14ac:dyDescent="0.2">
      <c r="A439" s="56">
        <f>+'[1]CONV-INVESTIGACIONES'!G238</f>
        <v>60201</v>
      </c>
      <c r="B439" s="62" t="s">
        <v>550</v>
      </c>
      <c r="C439" s="58">
        <f>+'[1]CONV-INVESTIGACIONES'!L238</f>
        <v>6239780</v>
      </c>
    </row>
    <row r="440" spans="1:3" ht="24" x14ac:dyDescent="0.2">
      <c r="A440" s="56">
        <f>+'[1]CONV-INVESTIGACIONES'!G239</f>
        <v>60201</v>
      </c>
      <c r="B440" s="62" t="s">
        <v>550</v>
      </c>
      <c r="C440" s="58">
        <f>+'[1]CONV-INVESTIGACIONES'!L239</f>
        <v>29189189</v>
      </c>
    </row>
    <row r="441" spans="1:3" ht="24" x14ac:dyDescent="0.2">
      <c r="A441" s="56">
        <f>+'[1]CONV-INVESTIGACIONES'!G240</f>
        <v>60201</v>
      </c>
      <c r="B441" s="62" t="s">
        <v>550</v>
      </c>
      <c r="C441" s="58">
        <f>+'[1]CONV-INVESTIGACIONES'!L240</f>
        <v>6200000</v>
      </c>
    </row>
    <row r="442" spans="1:3" ht="24" x14ac:dyDescent="0.2">
      <c r="A442" s="56">
        <f>+'[1]CONV-INVESTIGACIONES'!G241</f>
        <v>60201</v>
      </c>
      <c r="B442" s="62" t="s">
        <v>550</v>
      </c>
      <c r="C442" s="58">
        <f>+'[1]CONV-INVESTIGACIONES'!L241</f>
        <v>6200000</v>
      </c>
    </row>
    <row r="443" spans="1:3" ht="24" x14ac:dyDescent="0.2">
      <c r="A443" s="56">
        <f>+'[1]CONV-INVESTIGACIONES'!G242</f>
        <v>60201</v>
      </c>
      <c r="B443" s="62" t="s">
        <v>550</v>
      </c>
      <c r="C443" s="58">
        <f>+'[1]CONV-INVESTIGACIONES'!L242</f>
        <v>8696016</v>
      </c>
    </row>
    <row r="444" spans="1:3" ht="24" x14ac:dyDescent="0.2">
      <c r="A444" s="56">
        <f>+'[1]CONV-INVESTIGACIONES'!G243</f>
        <v>60203</v>
      </c>
      <c r="B444" s="62" t="s">
        <v>550</v>
      </c>
      <c r="C444" s="58">
        <f>+'[1]CONV-INVESTIGACIONES'!L243</f>
        <v>473031</v>
      </c>
    </row>
    <row r="445" spans="1:3" ht="24" x14ac:dyDescent="0.2">
      <c r="A445" s="56">
        <f>+'[1]CONV-INVESTIGACIONES'!G244</f>
        <v>60203</v>
      </c>
      <c r="B445" s="62" t="s">
        <v>550</v>
      </c>
      <c r="C445" s="58">
        <f>+'[1]CONV-INVESTIGACIONES'!L244</f>
        <v>18000000</v>
      </c>
    </row>
    <row r="446" spans="1:3" ht="24" x14ac:dyDescent="0.2">
      <c r="A446" s="56">
        <f>+'[1]CONV-INVESTIGACIONES'!G245</f>
        <v>60203</v>
      </c>
      <c r="B446" s="62" t="s">
        <v>550</v>
      </c>
      <c r="C446" s="58">
        <f>+'[1]CONV-INVESTIGACIONES'!L245</f>
        <v>6374424</v>
      </c>
    </row>
    <row r="447" spans="1:3" ht="24" x14ac:dyDescent="0.2">
      <c r="A447" s="56">
        <f>+'[1]CONV-INVESTIGACIONES'!G246</f>
        <v>60203</v>
      </c>
      <c r="B447" s="62" t="s">
        <v>550</v>
      </c>
      <c r="C447" s="58">
        <f>+'[1]CONV-INVESTIGACIONES'!L246</f>
        <v>3724700</v>
      </c>
    </row>
    <row r="448" spans="1:3" ht="24" x14ac:dyDescent="0.2">
      <c r="A448" s="56">
        <f>+'[1]CONV-INVESTIGACIONES'!G247</f>
        <v>60203</v>
      </c>
      <c r="B448" s="62" t="s">
        <v>550</v>
      </c>
      <c r="C448" s="58">
        <f>+'[1]CONV-INVESTIGACIONES'!L247</f>
        <v>864687</v>
      </c>
    </row>
    <row r="449" spans="1:3" ht="24" x14ac:dyDescent="0.2">
      <c r="A449" s="56">
        <f>+'[1]CONV-INVESTIGACIONES'!G248</f>
        <v>60203</v>
      </c>
      <c r="B449" s="62" t="s">
        <v>550</v>
      </c>
      <c r="C449" s="58">
        <f>+'[1]CONV-INVESTIGACIONES'!L248</f>
        <v>119512</v>
      </c>
    </row>
    <row r="450" spans="1:3" ht="24" x14ac:dyDescent="0.2">
      <c r="A450" s="56">
        <f>+'[1]CONV-INVESTIGACIONES'!G249</f>
        <v>60203</v>
      </c>
      <c r="B450" s="62" t="s">
        <v>550</v>
      </c>
      <c r="C450" s="58">
        <f>+'[1]CONV-INVESTIGACIONES'!L249</f>
        <v>700000</v>
      </c>
    </row>
    <row r="451" spans="1:3" ht="24" x14ac:dyDescent="0.2">
      <c r="A451" s="56">
        <f>+'[1]CONV-INVESTIGACIONES'!G250</f>
        <v>60203</v>
      </c>
      <c r="B451" s="62" t="s">
        <v>550</v>
      </c>
      <c r="C451" s="58">
        <f>+'[1]CONV-INVESTIGACIONES'!L250</f>
        <v>222253</v>
      </c>
    </row>
    <row r="452" spans="1:3" ht="24" x14ac:dyDescent="0.2">
      <c r="A452" s="56">
        <f>+'[1]CONV-INVESTIGACIONES'!G251</f>
        <v>60203</v>
      </c>
      <c r="B452" s="62" t="s">
        <v>550</v>
      </c>
      <c r="C452" s="58">
        <f>+'[1]CONV-INVESTIGACIONES'!L251</f>
        <v>687344</v>
      </c>
    </row>
    <row r="453" spans="1:3" ht="24" x14ac:dyDescent="0.2">
      <c r="A453" s="56">
        <f>+'[1]CONV-INVESTIGACIONES'!G252</f>
        <v>60203</v>
      </c>
      <c r="B453" s="62" t="s">
        <v>550</v>
      </c>
      <c r="C453" s="58">
        <f>+'[1]CONV-INVESTIGACIONES'!L252</f>
        <v>208393</v>
      </c>
    </row>
    <row r="454" spans="1:3" ht="24" x14ac:dyDescent="0.2">
      <c r="A454" s="56">
        <f>+'[1]CONV-INVESTIGACIONES'!G253</f>
        <v>60203</v>
      </c>
      <c r="B454" s="62" t="s">
        <v>550</v>
      </c>
      <c r="C454" s="58">
        <f>+'[1]CONV-INVESTIGACIONES'!L253</f>
        <v>1392657</v>
      </c>
    </row>
    <row r="455" spans="1:3" ht="24" x14ac:dyDescent="0.2">
      <c r="A455" s="56">
        <f>+'[1]CONV-INVESTIGACIONES'!G254</f>
        <v>60203</v>
      </c>
      <c r="B455" s="62" t="s">
        <v>550</v>
      </c>
      <c r="C455" s="58">
        <f>+'[1]CONV-INVESTIGACIONES'!L254</f>
        <v>15122520</v>
      </c>
    </row>
    <row r="456" spans="1:3" ht="24" x14ac:dyDescent="0.2">
      <c r="A456" s="56">
        <f>+'[1]CONV-INVESTIGACIONES'!G255</f>
        <v>60203</v>
      </c>
      <c r="B456" s="62" t="s">
        <v>550</v>
      </c>
      <c r="C456" s="58">
        <f>+'[1]CONV-INVESTIGACIONES'!L255</f>
        <v>1650000</v>
      </c>
    </row>
    <row r="457" spans="1:3" ht="24" x14ac:dyDescent="0.2">
      <c r="A457" s="56">
        <f>+'[1]CONV-INVESTIGACIONES'!G256</f>
        <v>60203</v>
      </c>
      <c r="B457" s="62" t="s">
        <v>550</v>
      </c>
      <c r="C457" s="58">
        <f>+'[1]CONV-INVESTIGACIONES'!L256</f>
        <v>1024000</v>
      </c>
    </row>
    <row r="458" spans="1:3" ht="24" x14ac:dyDescent="0.2">
      <c r="A458" s="56">
        <f>+'[1]CONV-INVESTIGACIONES'!G257</f>
        <v>60203</v>
      </c>
      <c r="B458" s="62" t="s">
        <v>550</v>
      </c>
      <c r="C458" s="58">
        <f>+'[1]CONV-INVESTIGACIONES'!L257</f>
        <v>471240</v>
      </c>
    </row>
    <row r="459" spans="1:3" ht="24" x14ac:dyDescent="0.2">
      <c r="A459" s="56">
        <f>+'[1]CONV-INVESTIGACIONES'!G258</f>
        <v>60203</v>
      </c>
      <c r="B459" s="62" t="s">
        <v>550</v>
      </c>
      <c r="C459" s="58">
        <f>+'[1]CONV-INVESTIGACIONES'!L258</f>
        <v>1450000</v>
      </c>
    </row>
    <row r="460" spans="1:3" ht="24" x14ac:dyDescent="0.2">
      <c r="A460" s="56">
        <f>+'[1]CONV-INVESTIGACIONES'!G259</f>
        <v>60203</v>
      </c>
      <c r="B460" s="62" t="s">
        <v>550</v>
      </c>
      <c r="C460" s="58">
        <f>+'[1]CONV-INVESTIGACIONES'!L259</f>
        <v>711394</v>
      </c>
    </row>
    <row r="461" spans="1:3" ht="24" x14ac:dyDescent="0.2">
      <c r="A461" s="56">
        <f>+'[1]CONV-INVESTIGACIONES'!G260</f>
        <v>60203</v>
      </c>
      <c r="B461" s="62" t="s">
        <v>550</v>
      </c>
      <c r="C461" s="58">
        <f>+'[1]CONV-INVESTIGACIONES'!L260</f>
        <v>6392516</v>
      </c>
    </row>
    <row r="462" spans="1:3" ht="24" x14ac:dyDescent="0.2">
      <c r="A462" s="56">
        <f>+'[1]CONV-INVESTIGACIONES'!G261</f>
        <v>60203</v>
      </c>
      <c r="B462" s="62" t="s">
        <v>550</v>
      </c>
      <c r="C462" s="58">
        <f>+'[1]CONV-INVESTIGACIONES'!L261</f>
        <v>4228070</v>
      </c>
    </row>
    <row r="463" spans="1:3" ht="24" x14ac:dyDescent="0.2">
      <c r="A463" s="56">
        <f>+'[1]CONV-INVESTIGACIONES'!G262</f>
        <v>60203</v>
      </c>
      <c r="B463" s="62" t="s">
        <v>550</v>
      </c>
      <c r="C463" s="58">
        <f>+'[1]CONV-INVESTIGACIONES'!L262</f>
        <v>3319722</v>
      </c>
    </row>
    <row r="464" spans="1:3" ht="24" x14ac:dyDescent="0.2">
      <c r="A464" s="56">
        <f>+'[1]CONV-INVESTIGACIONES'!G263</f>
        <v>60203</v>
      </c>
      <c r="B464" s="62" t="s">
        <v>550</v>
      </c>
      <c r="C464" s="58">
        <f>+'[1]CONV-INVESTIGACIONES'!L263</f>
        <v>4200000</v>
      </c>
    </row>
    <row r="465" spans="1:3" ht="24" x14ac:dyDescent="0.2">
      <c r="A465" s="56">
        <f>+'[1]CONV-INVESTIGACIONES'!G264</f>
        <v>60203</v>
      </c>
      <c r="B465" s="62" t="s">
        <v>550</v>
      </c>
      <c r="C465" s="58">
        <f>+'[1]CONV-INVESTIGACIONES'!L264</f>
        <v>251500</v>
      </c>
    </row>
    <row r="466" spans="1:3" ht="24" x14ac:dyDescent="0.2">
      <c r="A466" s="56">
        <f>+'[1]CONV-INVESTIGACIONES'!G265</f>
        <v>60203</v>
      </c>
      <c r="B466" s="62" t="s">
        <v>550</v>
      </c>
      <c r="C466" s="58">
        <f>+'[1]CONV-INVESTIGACIONES'!L265</f>
        <v>326063</v>
      </c>
    </row>
    <row r="467" spans="1:3" ht="24" x14ac:dyDescent="0.2">
      <c r="A467" s="56">
        <f>+'[1]CONV-INVESTIGACIONES'!G266</f>
        <v>60203</v>
      </c>
      <c r="B467" s="62" t="s">
        <v>550</v>
      </c>
      <c r="C467" s="58">
        <f>+'[1]CONV-INVESTIGACIONES'!L266</f>
        <v>1320000</v>
      </c>
    </row>
    <row r="468" spans="1:3" ht="24" x14ac:dyDescent="0.2">
      <c r="A468" s="56">
        <f>+'[1]CONV-INVESTIGACIONES'!G267</f>
        <v>60203</v>
      </c>
      <c r="B468" s="62" t="s">
        <v>550</v>
      </c>
      <c r="C468" s="58">
        <f>+'[1]CONV-INVESTIGACIONES'!L267</f>
        <v>495000</v>
      </c>
    </row>
    <row r="469" spans="1:3" ht="24" x14ac:dyDescent="0.2">
      <c r="A469" s="56">
        <f>+'[1]CONV-INVESTIGACIONES'!G268</f>
        <v>60203</v>
      </c>
      <c r="B469" s="62" t="s">
        <v>550</v>
      </c>
      <c r="C469" s="58">
        <f>+'[1]CONV-INVESTIGACIONES'!L268</f>
        <v>1195950</v>
      </c>
    </row>
    <row r="470" spans="1:3" ht="24" x14ac:dyDescent="0.2">
      <c r="A470" s="56">
        <f>+'[1]CONV-INVESTIGACIONES'!G269</f>
        <v>60203</v>
      </c>
      <c r="B470" s="62" t="s">
        <v>550</v>
      </c>
      <c r="C470" s="58">
        <f>+'[1]CONV-INVESTIGACIONES'!L269</f>
        <v>4232830</v>
      </c>
    </row>
    <row r="471" spans="1:3" ht="24" x14ac:dyDescent="0.2">
      <c r="A471" s="56">
        <f>+'[1]CONV-INVESTIGACIONES'!G270</f>
        <v>60203</v>
      </c>
      <c r="B471" s="62" t="s">
        <v>550</v>
      </c>
      <c r="C471" s="58">
        <f>+'[1]CONV-INVESTIGACIONES'!L270</f>
        <v>2779999</v>
      </c>
    </row>
    <row r="472" spans="1:3" ht="24" x14ac:dyDescent="0.2">
      <c r="A472" s="56">
        <f>+'[1]CONV-INVESTIGACIONES'!G271</f>
        <v>60203</v>
      </c>
      <c r="B472" s="62" t="s">
        <v>550</v>
      </c>
      <c r="C472" s="58">
        <f>+'[1]CONV-INVESTIGACIONES'!L271</f>
        <v>169999</v>
      </c>
    </row>
    <row r="473" spans="1:3" ht="24" x14ac:dyDescent="0.2">
      <c r="A473" s="56">
        <f>+'[1]CONV-INVESTIGACIONES'!G272</f>
        <v>60203</v>
      </c>
      <c r="B473" s="62" t="s">
        <v>550</v>
      </c>
      <c r="C473" s="58">
        <f>+'[1]CONV-INVESTIGACIONES'!L272</f>
        <v>1033753</v>
      </c>
    </row>
    <row r="474" spans="1:3" ht="24" x14ac:dyDescent="0.2">
      <c r="A474" s="56">
        <f>+'[1]CONV-INVESTIGACIONES'!G273</f>
        <v>60203</v>
      </c>
      <c r="B474" s="62" t="s">
        <v>550</v>
      </c>
      <c r="C474" s="58">
        <f>+'[1]CONV-INVESTIGACIONES'!L273</f>
        <v>598000</v>
      </c>
    </row>
    <row r="475" spans="1:3" ht="24" x14ac:dyDescent="0.2">
      <c r="A475" s="56">
        <f>+'[1]CONV-INVESTIGACIONES'!G274</f>
        <v>60204</v>
      </c>
      <c r="B475" s="62" t="s">
        <v>550</v>
      </c>
      <c r="C475" s="58">
        <f>+'[1]CONV-INVESTIGACIONES'!L274</f>
        <v>3050667</v>
      </c>
    </row>
    <row r="476" spans="1:3" ht="24" x14ac:dyDescent="0.2">
      <c r="A476" s="56">
        <f>+'[1]CONV-INVESTIGACIONES'!G275</f>
        <v>60204</v>
      </c>
      <c r="B476" s="62" t="s">
        <v>550</v>
      </c>
      <c r="C476" s="58">
        <f>+'[1]CONV-INVESTIGACIONES'!L275</f>
        <v>7280000</v>
      </c>
    </row>
    <row r="477" spans="1:3" ht="24" x14ac:dyDescent="0.2">
      <c r="A477" s="56">
        <f>+'[1]CONV-INVESTIGACIONES'!G276</f>
        <v>60204</v>
      </c>
      <c r="B477" s="62" t="s">
        <v>550</v>
      </c>
      <c r="C477" s="58">
        <f>+'[1]CONV-INVESTIGACIONES'!L276</f>
        <v>2912000</v>
      </c>
    </row>
    <row r="478" spans="1:3" ht="24" x14ac:dyDescent="0.2">
      <c r="A478" s="56">
        <f>+'[1]CONV-INVESTIGACIONES'!G277</f>
        <v>60204</v>
      </c>
      <c r="B478" s="62" t="s">
        <v>550</v>
      </c>
      <c r="C478" s="58">
        <f>+'[1]CONV-INVESTIGACIONES'!L277</f>
        <v>2912000</v>
      </c>
    </row>
    <row r="479" spans="1:3" ht="24" x14ac:dyDescent="0.2">
      <c r="A479" s="56">
        <f>+'[1]CONV-INVESTIGACIONES'!G278</f>
        <v>60204</v>
      </c>
      <c r="B479" s="62" t="s">
        <v>550</v>
      </c>
      <c r="C479" s="58">
        <f>+'[1]CONV-INVESTIGACIONES'!L278</f>
        <v>3189333</v>
      </c>
    </row>
    <row r="480" spans="1:3" ht="24" x14ac:dyDescent="0.2">
      <c r="A480" s="56">
        <f>+'[1]CONV-INVESTIGACIONES'!G279</f>
        <v>60204</v>
      </c>
      <c r="B480" s="62" t="s">
        <v>550</v>
      </c>
      <c r="C480" s="58">
        <f>+'[1]CONV-INVESTIGACIONES'!L279</f>
        <v>1799850</v>
      </c>
    </row>
    <row r="481" spans="1:3" ht="24" x14ac:dyDescent="0.2">
      <c r="A481" s="56">
        <f>+'[1]CONV-INVESTIGACIONES'!G280</f>
        <v>60204</v>
      </c>
      <c r="B481" s="62" t="s">
        <v>550</v>
      </c>
      <c r="C481" s="58">
        <f>+'[1]CONV-INVESTIGACIONES'!L280</f>
        <v>2303496</v>
      </c>
    </row>
    <row r="482" spans="1:3" ht="24" x14ac:dyDescent="0.2">
      <c r="A482" s="56">
        <f>+'[1]CONV-INVESTIGACIONES'!G281</f>
        <v>60204</v>
      </c>
      <c r="B482" s="62" t="s">
        <v>550</v>
      </c>
      <c r="C482" s="58">
        <f>+'[1]CONV-INVESTIGACIONES'!L281</f>
        <v>6666112</v>
      </c>
    </row>
    <row r="483" spans="1:3" ht="24" x14ac:dyDescent="0.2">
      <c r="A483" s="56">
        <f>+'[1]CONV-INVESTIGACIONES'!G282</f>
        <v>60204</v>
      </c>
      <c r="B483" s="62" t="s">
        <v>550</v>
      </c>
      <c r="C483" s="58">
        <f>+'[1]CONV-INVESTIGACIONES'!L282</f>
        <v>3833333</v>
      </c>
    </row>
    <row r="484" spans="1:3" ht="24" x14ac:dyDescent="0.2">
      <c r="A484" s="56">
        <f>+'[1]CONV-INVESTIGACIONES'!G283</f>
        <v>60204</v>
      </c>
      <c r="B484" s="62" t="s">
        <v>550</v>
      </c>
      <c r="C484" s="58">
        <f>+'[1]CONV-INVESTIGACIONES'!L283</f>
        <v>959920</v>
      </c>
    </row>
    <row r="485" spans="1:3" ht="24" x14ac:dyDescent="0.2">
      <c r="A485" s="56">
        <f>+'[1]CONV-INVESTIGACIONES'!G284</f>
        <v>60204</v>
      </c>
      <c r="B485" s="62" t="s">
        <v>550</v>
      </c>
      <c r="C485" s="58">
        <f>+'[1]CONV-INVESTIGACIONES'!L284</f>
        <v>1113316</v>
      </c>
    </row>
    <row r="486" spans="1:3" ht="24" x14ac:dyDescent="0.2">
      <c r="A486" s="56">
        <f>+'[1]CONV-INVESTIGACIONES'!G285</f>
        <v>60204</v>
      </c>
      <c r="B486" s="62" t="s">
        <v>550</v>
      </c>
      <c r="C486" s="58">
        <f>+'[1]CONV-INVESTIGACIONES'!L285</f>
        <v>5107557</v>
      </c>
    </row>
    <row r="487" spans="1:3" ht="24" x14ac:dyDescent="0.2">
      <c r="A487" s="56">
        <f>+'[1]CONV-INVESTIGACIONES'!G286</f>
        <v>60204</v>
      </c>
      <c r="B487" s="62" t="s">
        <v>550</v>
      </c>
      <c r="C487" s="58">
        <f>+'[1]CONV-INVESTIGACIONES'!L286</f>
        <v>5107557</v>
      </c>
    </row>
    <row r="488" spans="1:3" ht="24" x14ac:dyDescent="0.2">
      <c r="A488" s="56">
        <f>+'[1]CONV-INVESTIGACIONES'!G287</f>
        <v>60204</v>
      </c>
      <c r="B488" s="62" t="s">
        <v>550</v>
      </c>
      <c r="C488" s="58">
        <f>+'[1]CONV-INVESTIGACIONES'!L287</f>
        <v>4629064</v>
      </c>
    </row>
    <row r="489" spans="1:3" ht="24" x14ac:dyDescent="0.2">
      <c r="A489" s="56">
        <f>+'[1]CONV-INVESTIGACIONES'!G288</f>
        <v>60204</v>
      </c>
      <c r="B489" s="62" t="s">
        <v>550</v>
      </c>
      <c r="C489" s="58">
        <f>+'[1]CONV-INVESTIGACIONES'!L288</f>
        <v>346528</v>
      </c>
    </row>
    <row r="490" spans="1:3" ht="24" x14ac:dyDescent="0.2">
      <c r="A490" s="56">
        <f>+'[1]CONV-INVESTIGACIONES'!G289</f>
        <v>60204</v>
      </c>
      <c r="B490" s="62" t="s">
        <v>550</v>
      </c>
      <c r="C490" s="58">
        <f>+'[1]CONV-INVESTIGACIONES'!L289</f>
        <v>1197648</v>
      </c>
    </row>
    <row r="491" spans="1:3" ht="24" x14ac:dyDescent="0.2">
      <c r="A491" s="56">
        <f>+'[1]CONV-INVESTIGACIONES'!G290</f>
        <v>60204</v>
      </c>
      <c r="B491" s="62" t="s">
        <v>550</v>
      </c>
      <c r="C491" s="58">
        <f>+'[1]CONV-INVESTIGACIONES'!L290</f>
        <v>1226906</v>
      </c>
    </row>
    <row r="492" spans="1:3" ht="24" x14ac:dyDescent="0.2">
      <c r="A492" s="56">
        <f>+'[1]CONV-INVESTIGACIONES'!G291</f>
        <v>60204</v>
      </c>
      <c r="B492" s="62" t="s">
        <v>550</v>
      </c>
      <c r="C492" s="58">
        <f>+'[1]CONV-INVESTIGACIONES'!L291</f>
        <v>4061196</v>
      </c>
    </row>
    <row r="493" spans="1:3" ht="24" x14ac:dyDescent="0.2">
      <c r="A493" s="56">
        <f>+'[1]CONV-INVESTIGACIONES'!G292</f>
        <v>60204</v>
      </c>
      <c r="B493" s="62" t="s">
        <v>550</v>
      </c>
      <c r="C493" s="58">
        <f>+'[1]CONV-INVESTIGACIONES'!L292</f>
        <v>12500000</v>
      </c>
    </row>
    <row r="494" spans="1:3" ht="24" x14ac:dyDescent="0.2">
      <c r="A494" s="56">
        <f>+'[1]CONV-INVESTIGACIONES'!G293</f>
        <v>60204</v>
      </c>
      <c r="B494" s="62" t="s">
        <v>550</v>
      </c>
      <c r="C494" s="58">
        <f>+'[1]CONV-INVESTIGACIONES'!L293</f>
        <v>10400000</v>
      </c>
    </row>
    <row r="495" spans="1:3" ht="24" x14ac:dyDescent="0.2">
      <c r="A495" s="56">
        <f>+'[1]CONV-INVESTIGACIONES'!G294</f>
        <v>60204</v>
      </c>
      <c r="B495" s="62" t="s">
        <v>550</v>
      </c>
      <c r="C495" s="58">
        <f>+'[1]CONV-INVESTIGACIONES'!L294</f>
        <v>10400000</v>
      </c>
    </row>
    <row r="496" spans="1:3" ht="24" x14ac:dyDescent="0.2">
      <c r="A496" s="56">
        <f>+'[1]CONV-INVESTIGACIONES'!G295</f>
        <v>60204</v>
      </c>
      <c r="B496" s="62" t="s">
        <v>550</v>
      </c>
      <c r="C496" s="58">
        <f>+'[1]CONV-INVESTIGACIONES'!L295</f>
        <v>10400000</v>
      </c>
    </row>
    <row r="497" spans="1:3" ht="24" x14ac:dyDescent="0.2">
      <c r="A497" s="56">
        <f>+'[1]CONV-INVESTIGACIONES'!G296</f>
        <v>60204</v>
      </c>
      <c r="B497" s="62" t="s">
        <v>550</v>
      </c>
      <c r="C497" s="58">
        <f>+'[1]CONV-INVESTIGACIONES'!L296</f>
        <v>15383335</v>
      </c>
    </row>
    <row r="498" spans="1:3" ht="24" x14ac:dyDescent="0.2">
      <c r="A498" s="56">
        <f>+'[1]CONV-INVESTIGACIONES'!G297</f>
        <v>60204</v>
      </c>
      <c r="B498" s="62" t="s">
        <v>550</v>
      </c>
      <c r="C498" s="58">
        <f>+'[1]CONV-INVESTIGACIONES'!L297</f>
        <v>5999500</v>
      </c>
    </row>
    <row r="499" spans="1:3" ht="24" x14ac:dyDescent="0.2">
      <c r="A499" s="56">
        <f>+'[1]CONV-INVESTIGACIONES'!G298</f>
        <v>60204</v>
      </c>
      <c r="B499" s="62" t="s">
        <v>550</v>
      </c>
      <c r="C499" s="58">
        <f>+'[1]CONV-INVESTIGACIONES'!L298</f>
        <v>17350667</v>
      </c>
    </row>
    <row r="500" spans="1:3" ht="24" x14ac:dyDescent="0.2">
      <c r="A500" s="56">
        <f>+'[1]CONV-INVESTIGACIONES'!G299</f>
        <v>60204</v>
      </c>
      <c r="B500" s="62" t="s">
        <v>550</v>
      </c>
      <c r="C500" s="58">
        <f>+'[1]CONV-INVESTIGACIONES'!L299</f>
        <v>10400000</v>
      </c>
    </row>
    <row r="501" spans="1:3" ht="24" x14ac:dyDescent="0.2">
      <c r="A501" s="56">
        <f>+'[1]CONV-INVESTIGACIONES'!G300</f>
        <v>60204</v>
      </c>
      <c r="B501" s="62" t="s">
        <v>550</v>
      </c>
      <c r="C501" s="58">
        <f>+'[1]CONV-INVESTIGACIONES'!L300</f>
        <v>5999500</v>
      </c>
    </row>
    <row r="502" spans="1:3" ht="24" x14ac:dyDescent="0.2">
      <c r="A502" s="56">
        <f>+'[1]CONV-INVESTIGACIONES'!G301</f>
        <v>60204</v>
      </c>
      <c r="B502" s="62" t="s">
        <v>550</v>
      </c>
      <c r="C502" s="58">
        <f>+'[1]CONV-INVESTIGACIONES'!L301</f>
        <v>2003040</v>
      </c>
    </row>
    <row r="503" spans="1:3" x14ac:dyDescent="0.2">
      <c r="A503" s="56">
        <f>+'[1]REGALIAS '!G4</f>
        <v>8301580</v>
      </c>
      <c r="B503" s="62" t="s">
        <v>579</v>
      </c>
      <c r="C503" s="58">
        <f>+'[1]REGALIAS '!L4</f>
        <v>2850000</v>
      </c>
    </row>
    <row r="504" spans="1:3" x14ac:dyDescent="0.2">
      <c r="A504" s="56">
        <f>+'[1]REGALIAS '!G5</f>
        <v>8301588</v>
      </c>
      <c r="B504" s="62" t="s">
        <v>579</v>
      </c>
      <c r="C504" s="58">
        <f>+'[1]REGALIAS '!L5</f>
        <v>79999940</v>
      </c>
    </row>
    <row r="505" spans="1:3" x14ac:dyDescent="0.2">
      <c r="A505" s="56">
        <f>+'[1]REGALIAS '!G6</f>
        <v>8301588</v>
      </c>
      <c r="B505" s="62" t="s">
        <v>579</v>
      </c>
      <c r="C505" s="58">
        <f>+'[1]REGALIAS '!L6</f>
        <v>15000000</v>
      </c>
    </row>
    <row r="506" spans="1:3" x14ac:dyDescent="0.2">
      <c r="A506" s="56">
        <f>+'[1]REGALIAS '!G7</f>
        <v>8301588</v>
      </c>
      <c r="B506" s="62" t="s">
        <v>579</v>
      </c>
      <c r="C506" s="58">
        <f>+'[1]REGALIAS '!L7</f>
        <v>21000000</v>
      </c>
    </row>
    <row r="507" spans="1:3" x14ac:dyDescent="0.2">
      <c r="A507" s="56">
        <f>+'[1]REGALIAS '!G8</f>
        <v>8301588</v>
      </c>
      <c r="B507" s="62" t="s">
        <v>579</v>
      </c>
      <c r="C507" s="58">
        <f>+'[1]REGALIAS '!L8</f>
        <v>18000000</v>
      </c>
    </row>
    <row r="508" spans="1:3" x14ac:dyDescent="0.2">
      <c r="A508" s="56">
        <f>+'[1]REGALIAS '!G9</f>
        <v>8301588</v>
      </c>
      <c r="B508" s="62" t="s">
        <v>579</v>
      </c>
      <c r="C508" s="58">
        <f>+'[1]REGALIAS '!L9</f>
        <v>18000000</v>
      </c>
    </row>
    <row r="509" spans="1:3" x14ac:dyDescent="0.2">
      <c r="A509" s="56">
        <f>+'[1]REGALIAS '!G10</f>
        <v>8301589</v>
      </c>
      <c r="B509" s="62" t="s">
        <v>579</v>
      </c>
      <c r="C509" s="58">
        <f>+'[1]REGALIAS '!L10</f>
        <v>2842000</v>
      </c>
    </row>
    <row r="510" spans="1:3" x14ac:dyDescent="0.2">
      <c r="A510" s="56">
        <f>+'[1]REGALIAS '!G11</f>
        <v>8320314</v>
      </c>
      <c r="B510" s="62" t="s">
        <v>579</v>
      </c>
      <c r="C510" s="58">
        <f>+'[1]REGALIAS '!L11</f>
        <v>14594600</v>
      </c>
    </row>
    <row r="511" spans="1:3" x14ac:dyDescent="0.2">
      <c r="A511" s="56">
        <f>+'[1]REGALIAS '!G12</f>
        <v>8320314</v>
      </c>
      <c r="B511" s="62" t="s">
        <v>579</v>
      </c>
      <c r="C511" s="58">
        <f>+'[1]REGALIAS '!L12</f>
        <v>22900000</v>
      </c>
    </row>
    <row r="512" spans="1:3" x14ac:dyDescent="0.2">
      <c r="A512" s="56">
        <f>+'[1]REGALIAS '!G13</f>
        <v>8320314</v>
      </c>
      <c r="B512" s="62" t="s">
        <v>579</v>
      </c>
      <c r="C512" s="58">
        <f>+'[1]REGALIAS '!L13</f>
        <v>6674460</v>
      </c>
    </row>
    <row r="513" spans="1:3" x14ac:dyDescent="0.2">
      <c r="A513" s="56">
        <f>+'[1]REGALIAS '!G14</f>
        <v>8320314</v>
      </c>
      <c r="B513" s="62" t="s">
        <v>579</v>
      </c>
      <c r="C513" s="58">
        <f>+'[1]REGALIAS '!L14</f>
        <v>28667000</v>
      </c>
    </row>
    <row r="514" spans="1:3" x14ac:dyDescent="0.2">
      <c r="A514" s="56">
        <f>+'[1]REGALIAS '!G15</f>
        <v>8320314</v>
      </c>
      <c r="B514" s="62" t="s">
        <v>579</v>
      </c>
      <c r="C514" s="58">
        <f>+'[1]REGALIAS '!L15</f>
        <v>597734</v>
      </c>
    </row>
    <row r="515" spans="1:3" x14ac:dyDescent="0.2">
      <c r="A515" s="56">
        <f>+'[1]REGALIAS '!G16</f>
        <v>8320314</v>
      </c>
      <c r="B515" s="62" t="s">
        <v>579</v>
      </c>
      <c r="C515" s="58">
        <f>+'[1]REGALIAS '!L16</f>
        <v>76000000</v>
      </c>
    </row>
    <row r="516" spans="1:3" x14ac:dyDescent="0.2">
      <c r="A516" s="56">
        <f>+'[1]REGALIAS '!G17</f>
        <v>8320314</v>
      </c>
      <c r="B516" s="62" t="s">
        <v>579</v>
      </c>
      <c r="C516" s="58">
        <f>+'[1]REGALIAS '!L17</f>
        <v>25178000</v>
      </c>
    </row>
    <row r="517" spans="1:3" x14ac:dyDescent="0.2">
      <c r="A517" s="56">
        <f>+'[1]REGALIAS '!G18</f>
        <v>8320314</v>
      </c>
      <c r="B517" s="62" t="s">
        <v>579</v>
      </c>
      <c r="C517" s="58">
        <f>+'[1]REGALIAS '!L18</f>
        <v>39000000</v>
      </c>
    </row>
    <row r="518" spans="1:3" x14ac:dyDescent="0.2">
      <c r="A518" s="56">
        <f>+'[1]REGALIAS '!G19</f>
        <v>8320314</v>
      </c>
      <c r="B518" s="62" t="s">
        <v>579</v>
      </c>
      <c r="C518" s="58">
        <f>+'[1]REGALIAS '!L19</f>
        <v>17733272</v>
      </c>
    </row>
    <row r="519" spans="1:3" x14ac:dyDescent="0.2">
      <c r="A519" s="56">
        <f>+'[1]REGALIAS '!G20</f>
        <v>8320314</v>
      </c>
      <c r="B519" s="62" t="s">
        <v>579</v>
      </c>
      <c r="C519" s="58">
        <f>+'[1]REGALIAS '!L20</f>
        <v>41100000</v>
      </c>
    </row>
    <row r="520" spans="1:3" x14ac:dyDescent="0.2">
      <c r="A520" s="56">
        <f>+'[1]REGALIAS '!G21</f>
        <v>8320314</v>
      </c>
      <c r="B520" s="62" t="s">
        <v>579</v>
      </c>
      <c r="C520" s="58">
        <f>+'[1]REGALIAS '!L21</f>
        <v>953529</v>
      </c>
    </row>
    <row r="521" spans="1:3" x14ac:dyDescent="0.2">
      <c r="A521" s="56">
        <f>+'[1]REGALIAS '!G22</f>
        <v>8320314</v>
      </c>
      <c r="B521" s="62" t="s">
        <v>579</v>
      </c>
      <c r="C521" s="58">
        <f>+'[1]REGALIAS '!L22</f>
        <v>84000000</v>
      </c>
    </row>
    <row r="522" spans="1:3" x14ac:dyDescent="0.2">
      <c r="A522" s="56">
        <f>+'[1]REGALIAS '!G23</f>
        <v>8320314</v>
      </c>
      <c r="B522" s="62" t="s">
        <v>579</v>
      </c>
      <c r="C522" s="58">
        <f>+'[1]REGALIAS '!L23</f>
        <v>1245940</v>
      </c>
    </row>
    <row r="523" spans="1:3" x14ac:dyDescent="0.2">
      <c r="A523" s="56">
        <f>+'[1]REGALIAS '!G24</f>
        <v>8320314</v>
      </c>
      <c r="B523" s="62" t="s">
        <v>579</v>
      </c>
      <c r="C523" s="58">
        <f>+'[1]REGALIAS '!L24</f>
        <v>75600000</v>
      </c>
    </row>
    <row r="524" spans="1:3" x14ac:dyDescent="0.2">
      <c r="A524" s="56">
        <f>+'[1]REGALIAS '!G25</f>
        <v>8320314</v>
      </c>
      <c r="B524" s="62" t="s">
        <v>579</v>
      </c>
      <c r="C524" s="58">
        <f>+'[1]REGALIAS '!L25</f>
        <v>1098332</v>
      </c>
    </row>
    <row r="525" spans="1:3" x14ac:dyDescent="0.2">
      <c r="A525" s="56">
        <f>+'[1]REGALIAS '!G26</f>
        <v>8320314</v>
      </c>
      <c r="B525" s="62" t="s">
        <v>579</v>
      </c>
      <c r="C525" s="58">
        <f>+'[1]REGALIAS '!L26</f>
        <v>98400000</v>
      </c>
    </row>
    <row r="526" spans="1:3" x14ac:dyDescent="0.2">
      <c r="A526" s="56">
        <f>+'[1]REGALIAS '!G27</f>
        <v>8320314</v>
      </c>
      <c r="B526" s="62" t="s">
        <v>579</v>
      </c>
      <c r="C526" s="58">
        <f>+'[1]REGALIAS '!L27</f>
        <v>2714880</v>
      </c>
    </row>
    <row r="527" spans="1:3" x14ac:dyDescent="0.2">
      <c r="A527" s="56">
        <f>+'[1]REGALIAS '!G3</f>
        <v>5369016</v>
      </c>
      <c r="B527" s="62" t="s">
        <v>579</v>
      </c>
      <c r="C527" s="58">
        <f>+'[1]REGALIAS '!L3</f>
        <v>17600000</v>
      </c>
    </row>
    <row r="528" spans="1:3" x14ac:dyDescent="0.2">
      <c r="A528" s="56">
        <f>+'[1]REGALIAS '!G2</f>
        <v>5360810</v>
      </c>
      <c r="B528" s="62" t="s">
        <v>579</v>
      </c>
      <c r="C528" s="58">
        <f>+'[1]REGALIAS '!L2</f>
        <v>18400000</v>
      </c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1</vt:i4>
      </vt:variant>
    </vt:vector>
  </HeadingPairs>
  <TitlesOfParts>
    <vt:vector size="9" baseType="lpstr">
      <vt:lpstr>ejecucion cierre 2017</vt:lpstr>
      <vt:lpstr>Hoja7</vt:lpstr>
      <vt:lpstr>Hoja6</vt:lpstr>
      <vt:lpstr>Hoja5</vt:lpstr>
      <vt:lpstr>Hoja1</vt:lpstr>
      <vt:lpstr>Hoja2</vt:lpstr>
      <vt:lpstr>Hoja3</vt:lpstr>
      <vt:lpstr>Hoja4</vt:lpstr>
      <vt:lpstr>'ejecucion cierre 2017'!Área_de_impresión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</dc:creator>
  <cp:lastModifiedBy>UT</cp:lastModifiedBy>
  <cp:lastPrinted>2018-02-07T19:56:59Z</cp:lastPrinted>
  <dcterms:created xsi:type="dcterms:W3CDTF">2018-01-09T18:39:04Z</dcterms:created>
  <dcterms:modified xsi:type="dcterms:W3CDTF">2018-02-14T14:03:13Z</dcterms:modified>
</cp:coreProperties>
</file>