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 activeTab="1"/>
  </bookViews>
  <sheets>
    <sheet name="Ingresos Mayo  2022" sheetId="5" r:id="rId1"/>
    <sheet name="Gastos Mayo 2022" sheetId="10" r:id="rId2"/>
    <sheet name="PAC DE INGRESOS" sheetId="2" state="hidden" r:id="rId3"/>
    <sheet name="PAC DE GASTOS" sheetId="3" state="hidden" r:id="rId4"/>
    <sheet name="Hoja3" sheetId="9" state="hidden" r:id="rId5"/>
  </sheets>
  <definedNames>
    <definedName name="_xlnm._FilterDatabase" localSheetId="3" hidden="1">'PAC DE GASTOS'!$A$4:$P$580</definedName>
    <definedName name="_xlnm._FilterDatabase" localSheetId="2" hidden="1">'PAC DE INGRESOS'!$A$4:$X$131</definedName>
    <definedName name="_xlnm.Print_Titles" localSheetId="0">'Ingresos Mayo 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5" l="1"/>
  <c r="I141" i="5" s="1"/>
  <c r="I140" i="5" s="1"/>
  <c r="I139" i="5" s="1"/>
  <c r="I138" i="5" s="1"/>
  <c r="H142" i="5"/>
  <c r="H141" i="5" s="1"/>
  <c r="H140" i="5" s="1"/>
  <c r="H139" i="5" s="1"/>
  <c r="H138" i="5" s="1"/>
  <c r="G142" i="5"/>
  <c r="G141" i="5" s="1"/>
  <c r="G140" i="5" s="1"/>
  <c r="G139" i="5" s="1"/>
  <c r="G138" i="5" s="1"/>
  <c r="E142" i="5"/>
  <c r="E141" i="5" s="1"/>
  <c r="E140" i="5" s="1"/>
  <c r="E139" i="5" s="1"/>
  <c r="E138" i="5" s="1"/>
  <c r="D142" i="5"/>
  <c r="D141" i="5" s="1"/>
  <c r="D140" i="5" s="1"/>
  <c r="D139" i="5" s="1"/>
  <c r="D138" i="5" s="1"/>
  <c r="I136" i="5"/>
  <c r="I135" i="5" s="1"/>
  <c r="I134" i="5" s="1"/>
  <c r="I133" i="5" s="1"/>
  <c r="H136" i="5"/>
  <c r="H135" i="5" s="1"/>
  <c r="H134" i="5" s="1"/>
  <c r="H133" i="5" s="1"/>
  <c r="G136" i="5"/>
  <c r="G135" i="5" s="1"/>
  <c r="G134" i="5" s="1"/>
  <c r="G133" i="5" s="1"/>
  <c r="E136" i="5"/>
  <c r="E135" i="5" s="1"/>
  <c r="E134" i="5" s="1"/>
  <c r="E133" i="5" s="1"/>
  <c r="I131" i="5"/>
  <c r="I130" i="5" s="1"/>
  <c r="I129" i="5" s="1"/>
  <c r="I128" i="5" s="1"/>
  <c r="H131" i="5"/>
  <c r="H130" i="5" s="1"/>
  <c r="H129" i="5" s="1"/>
  <c r="H128" i="5" s="1"/>
  <c r="G131" i="5"/>
  <c r="G130" i="5" s="1"/>
  <c r="G129" i="5" s="1"/>
  <c r="G128" i="5" s="1"/>
  <c r="E131" i="5"/>
  <c r="E130" i="5" s="1"/>
  <c r="E129" i="5" s="1"/>
  <c r="E128" i="5" s="1"/>
  <c r="D131" i="5"/>
  <c r="D130" i="5" s="1"/>
  <c r="D129" i="5" s="1"/>
  <c r="D128" i="5" s="1"/>
  <c r="I126" i="5"/>
  <c r="I125" i="5" s="1"/>
  <c r="I124" i="5" s="1"/>
  <c r="H126" i="5"/>
  <c r="H125" i="5" s="1"/>
  <c r="H124" i="5" s="1"/>
  <c r="G126" i="5"/>
  <c r="G125" i="5" s="1"/>
  <c r="G124" i="5" s="1"/>
  <c r="E126" i="5"/>
  <c r="E125" i="5" s="1"/>
  <c r="E124" i="5" s="1"/>
  <c r="D126" i="5"/>
  <c r="D125" i="5" s="1"/>
  <c r="D124" i="5" s="1"/>
  <c r="I120" i="5"/>
  <c r="I119" i="5" s="1"/>
  <c r="I118" i="5" s="1"/>
  <c r="H120" i="5"/>
  <c r="H119" i="5" s="1"/>
  <c r="H118" i="5" s="1"/>
  <c r="D120" i="5"/>
  <c r="D119" i="5" s="1"/>
  <c r="D118" i="5" s="1"/>
  <c r="I116" i="5"/>
  <c r="I115" i="5" s="1"/>
  <c r="I114" i="5" s="1"/>
  <c r="I113" i="5" s="1"/>
  <c r="H116" i="5"/>
  <c r="H115" i="5" s="1"/>
  <c r="H114" i="5" s="1"/>
  <c r="H113" i="5" s="1"/>
  <c r="G116" i="5"/>
  <c r="G115" i="5" s="1"/>
  <c r="G114" i="5" s="1"/>
  <c r="G113" i="5" s="1"/>
  <c r="E116" i="5"/>
  <c r="E115" i="5" s="1"/>
  <c r="E114" i="5" s="1"/>
  <c r="E113" i="5" s="1"/>
  <c r="D116" i="5"/>
  <c r="D115" i="5" s="1"/>
  <c r="D114" i="5" s="1"/>
  <c r="D113" i="5" s="1"/>
  <c r="I97" i="5"/>
  <c r="I96" i="5" s="1"/>
  <c r="I95" i="5" s="1"/>
  <c r="I94" i="5" s="1"/>
  <c r="I93" i="5" s="1"/>
  <c r="H97" i="5"/>
  <c r="H96" i="5" s="1"/>
  <c r="H95" i="5" s="1"/>
  <c r="H94" i="5" s="1"/>
  <c r="H93" i="5" s="1"/>
  <c r="G97" i="5"/>
  <c r="G96" i="5" s="1"/>
  <c r="G95" i="5" s="1"/>
  <c r="G94" i="5" s="1"/>
  <c r="G93" i="5" s="1"/>
  <c r="E97" i="5"/>
  <c r="E96" i="5" s="1"/>
  <c r="E95" i="5" s="1"/>
  <c r="E94" i="5" s="1"/>
  <c r="E93" i="5" s="1"/>
  <c r="D97" i="5"/>
  <c r="D96" i="5" s="1"/>
  <c r="D95" i="5" s="1"/>
  <c r="D94" i="5" s="1"/>
  <c r="D93" i="5" s="1"/>
  <c r="I85" i="5"/>
  <c r="I84" i="5" s="1"/>
  <c r="I83" i="5" s="1"/>
  <c r="H85" i="5"/>
  <c r="G85" i="5"/>
  <c r="G84" i="5" s="1"/>
  <c r="G83" i="5" s="1"/>
  <c r="E85" i="5"/>
  <c r="E84" i="5" s="1"/>
  <c r="E83" i="5" s="1"/>
  <c r="D85" i="5"/>
  <c r="D84" i="5" s="1"/>
  <c r="D83" i="5" s="1"/>
  <c r="H84" i="5"/>
  <c r="H83" i="5" s="1"/>
  <c r="I81" i="5"/>
  <c r="I80" i="5" s="1"/>
  <c r="I79" i="5" s="1"/>
  <c r="H81" i="5"/>
  <c r="H80" i="5" s="1"/>
  <c r="H79" i="5" s="1"/>
  <c r="G81" i="5"/>
  <c r="G80" i="5" s="1"/>
  <c r="G79" i="5" s="1"/>
  <c r="E81" i="5"/>
  <c r="E80" i="5" s="1"/>
  <c r="E79" i="5" s="1"/>
  <c r="D81" i="5"/>
  <c r="D80" i="5" s="1"/>
  <c r="D79" i="5" s="1"/>
  <c r="I76" i="5"/>
  <c r="I75" i="5" s="1"/>
  <c r="H76" i="5"/>
  <c r="H75" i="5" s="1"/>
  <c r="G76" i="5"/>
  <c r="G75" i="5" s="1"/>
  <c r="E76" i="5"/>
  <c r="E75" i="5" s="1"/>
  <c r="D76" i="5"/>
  <c r="D75" i="5" s="1"/>
  <c r="I73" i="5"/>
  <c r="H73" i="5"/>
  <c r="G73" i="5"/>
  <c r="E73" i="5"/>
  <c r="D73" i="5"/>
  <c r="I71" i="5"/>
  <c r="H71" i="5"/>
  <c r="G71" i="5"/>
  <c r="E71" i="5"/>
  <c r="D71" i="5"/>
  <c r="I67" i="5"/>
  <c r="H67" i="5"/>
  <c r="G67" i="5"/>
  <c r="D67" i="5"/>
  <c r="I63" i="5"/>
  <c r="H63" i="5"/>
  <c r="G63" i="5"/>
  <c r="E63" i="5"/>
  <c r="D63" i="5"/>
  <c r="I58" i="5"/>
  <c r="H58" i="5"/>
  <c r="G58" i="5"/>
  <c r="E58" i="5"/>
  <c r="D58" i="5"/>
  <c r="I54" i="5"/>
  <c r="H54" i="5"/>
  <c r="G54" i="5"/>
  <c r="E54" i="5"/>
  <c r="D54" i="5"/>
  <c r="I51" i="5"/>
  <c r="I50" i="5" s="1"/>
  <c r="H51" i="5"/>
  <c r="G51" i="5"/>
  <c r="G50" i="5" s="1"/>
  <c r="E51" i="5"/>
  <c r="D51" i="5"/>
  <c r="J48" i="5"/>
  <c r="I48" i="5"/>
  <c r="H48" i="5"/>
  <c r="G48" i="5"/>
  <c r="F48" i="5"/>
  <c r="E48" i="5"/>
  <c r="D48" i="5"/>
  <c r="I44" i="5"/>
  <c r="H44" i="5"/>
  <c r="G44" i="5"/>
  <c r="E44" i="5"/>
  <c r="D44" i="5"/>
  <c r="I40" i="5"/>
  <c r="H40" i="5"/>
  <c r="G40" i="5"/>
  <c r="E40" i="5"/>
  <c r="D40" i="5"/>
  <c r="I32" i="5"/>
  <c r="H32" i="5"/>
  <c r="G32" i="5"/>
  <c r="E32" i="5"/>
  <c r="D32" i="5"/>
  <c r="I27" i="5"/>
  <c r="H27" i="5"/>
  <c r="G27" i="5"/>
  <c r="E27" i="5"/>
  <c r="D27" i="5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D23" i="5"/>
  <c r="D22" i="5" s="1"/>
  <c r="D21" i="5" s="1"/>
  <c r="I17" i="5"/>
  <c r="I15" i="5" s="1"/>
  <c r="I14" i="5" s="1"/>
  <c r="I13" i="5" s="1"/>
  <c r="I12" i="5" s="1"/>
  <c r="I11" i="5" s="1"/>
  <c r="H17" i="5"/>
  <c r="H15" i="5" s="1"/>
  <c r="H14" i="5" s="1"/>
  <c r="H13" i="5" s="1"/>
  <c r="H12" i="5" s="1"/>
  <c r="H11" i="5" s="1"/>
  <c r="G17" i="5"/>
  <c r="E17" i="5"/>
  <c r="E15" i="5" s="1"/>
  <c r="E14" i="5" s="1"/>
  <c r="E13" i="5" s="1"/>
  <c r="E12" i="5" s="1"/>
  <c r="E11" i="5" s="1"/>
  <c r="D17" i="5"/>
  <c r="D15" i="5" s="1"/>
  <c r="D14" i="5" s="1"/>
  <c r="D13" i="5" s="1"/>
  <c r="D12" i="5" s="1"/>
  <c r="D11" i="5" s="1"/>
  <c r="G15" i="5"/>
  <c r="G14" i="5" s="1"/>
  <c r="G13" i="5" s="1"/>
  <c r="G12" i="5" s="1"/>
  <c r="G11" i="5" s="1"/>
  <c r="E26" i="5" l="1"/>
  <c r="E25" i="5" s="1"/>
  <c r="D70" i="5"/>
  <c r="D56" i="5" s="1"/>
  <c r="D39" i="5"/>
  <c r="G57" i="5"/>
  <c r="H50" i="5"/>
  <c r="G70" i="5"/>
  <c r="D57" i="5"/>
  <c r="G26" i="5"/>
  <c r="G25" i="5" s="1"/>
  <c r="G20" i="5" s="1"/>
  <c r="E50" i="5"/>
  <c r="G39" i="5"/>
  <c r="I26" i="5"/>
  <c r="I25" i="5" s="1"/>
  <c r="I20" i="5" s="1"/>
  <c r="G123" i="5"/>
  <c r="H39" i="5"/>
  <c r="H38" i="5" s="1"/>
  <c r="H57" i="5"/>
  <c r="G56" i="5"/>
  <c r="H70" i="5"/>
  <c r="H56" i="5" s="1"/>
  <c r="D123" i="5"/>
  <c r="H123" i="5"/>
  <c r="E123" i="5"/>
  <c r="I123" i="5"/>
  <c r="D92" i="5"/>
  <c r="I92" i="5"/>
  <c r="H92" i="5"/>
  <c r="D78" i="5"/>
  <c r="I78" i="5"/>
  <c r="H78" i="5"/>
  <c r="G78" i="5"/>
  <c r="E78" i="5"/>
  <c r="I70" i="5"/>
  <c r="E70" i="5"/>
  <c r="I57" i="5"/>
  <c r="D50" i="5"/>
  <c r="G38" i="5"/>
  <c r="I39" i="5"/>
  <c r="I38" i="5" s="1"/>
  <c r="E39" i="5"/>
  <c r="H26" i="5"/>
  <c r="H25" i="5" s="1"/>
  <c r="H20" i="5" s="1"/>
  <c r="D26" i="5"/>
  <c r="D25" i="5" s="1"/>
  <c r="D20" i="5" s="1"/>
  <c r="E20" i="5"/>
  <c r="P668" i="10"/>
  <c r="M668" i="10"/>
  <c r="G668" i="10"/>
  <c r="J668" i="10" s="1"/>
  <c r="P667" i="10"/>
  <c r="M667" i="10"/>
  <c r="G667" i="10"/>
  <c r="P666" i="10"/>
  <c r="M666" i="10"/>
  <c r="G666" i="10"/>
  <c r="Q666" i="10" s="1"/>
  <c r="P665" i="10"/>
  <c r="M665" i="10"/>
  <c r="G665" i="10"/>
  <c r="J665" i="10" s="1"/>
  <c r="P664" i="10"/>
  <c r="M664" i="10"/>
  <c r="G664" i="10"/>
  <c r="P663" i="10"/>
  <c r="M663" i="10"/>
  <c r="G663" i="10"/>
  <c r="Q663" i="10" s="1"/>
  <c r="E662" i="10"/>
  <c r="D662" i="10"/>
  <c r="C662" i="10"/>
  <c r="O660" i="10"/>
  <c r="N660" i="10"/>
  <c r="L660" i="10"/>
  <c r="K660" i="10"/>
  <c r="I660" i="10"/>
  <c r="H660" i="10"/>
  <c r="F660" i="10"/>
  <c r="E660" i="10"/>
  <c r="D660" i="10"/>
  <c r="C660" i="10"/>
  <c r="O659" i="10"/>
  <c r="N659" i="10"/>
  <c r="L659" i="10"/>
  <c r="K659" i="10"/>
  <c r="I659" i="10"/>
  <c r="H659" i="10"/>
  <c r="F659" i="10"/>
  <c r="E659" i="10"/>
  <c r="D659" i="10"/>
  <c r="C659" i="10"/>
  <c r="O658" i="10"/>
  <c r="N658" i="10"/>
  <c r="L658" i="10"/>
  <c r="K658" i="10"/>
  <c r="I658" i="10"/>
  <c r="H658" i="10"/>
  <c r="F658" i="10"/>
  <c r="E658" i="10"/>
  <c r="D658" i="10"/>
  <c r="C658" i="10"/>
  <c r="B657" i="10"/>
  <c r="O656" i="10"/>
  <c r="N656" i="10"/>
  <c r="L656" i="10"/>
  <c r="K656" i="10"/>
  <c r="I656" i="10"/>
  <c r="M656" i="10" s="1"/>
  <c r="H656" i="10"/>
  <c r="F656" i="10"/>
  <c r="E656" i="10"/>
  <c r="D656" i="10"/>
  <c r="C656" i="10"/>
  <c r="O655" i="10"/>
  <c r="N655" i="10"/>
  <c r="L655" i="10"/>
  <c r="L653" i="10" s="1"/>
  <c r="K655" i="10"/>
  <c r="I655" i="10"/>
  <c r="H655" i="10"/>
  <c r="F655" i="10"/>
  <c r="E655" i="10"/>
  <c r="D655" i="10"/>
  <c r="C655" i="10"/>
  <c r="O654" i="10"/>
  <c r="N654" i="10"/>
  <c r="L654" i="10"/>
  <c r="K654" i="10"/>
  <c r="I654" i="10"/>
  <c r="H654" i="10"/>
  <c r="F654" i="10"/>
  <c r="E654" i="10"/>
  <c r="D654" i="10"/>
  <c r="D653" i="10" s="1"/>
  <c r="C654" i="10"/>
  <c r="B653" i="10"/>
  <c r="O652" i="10"/>
  <c r="N652" i="10"/>
  <c r="L652" i="10"/>
  <c r="K652" i="10"/>
  <c r="I652" i="10"/>
  <c r="H652" i="10"/>
  <c r="F652" i="10"/>
  <c r="E652" i="10"/>
  <c r="D652" i="10"/>
  <c r="C652" i="10"/>
  <c r="O651" i="10"/>
  <c r="P651" i="10" s="1"/>
  <c r="N651" i="10"/>
  <c r="L651" i="10"/>
  <c r="K651" i="10"/>
  <c r="I651" i="10"/>
  <c r="H651" i="10"/>
  <c r="F651" i="10"/>
  <c r="E651" i="10"/>
  <c r="D651" i="10"/>
  <c r="C651" i="10"/>
  <c r="O650" i="10"/>
  <c r="N650" i="10"/>
  <c r="L650" i="10"/>
  <c r="K650" i="10"/>
  <c r="I650" i="10"/>
  <c r="M650" i="10" s="1"/>
  <c r="H650" i="10"/>
  <c r="F650" i="10"/>
  <c r="E650" i="10"/>
  <c r="D650" i="10"/>
  <c r="C650" i="10"/>
  <c r="B649" i="10"/>
  <c r="O648" i="10"/>
  <c r="N648" i="10"/>
  <c r="L648" i="10"/>
  <c r="K648" i="10"/>
  <c r="I648" i="10"/>
  <c r="H648" i="10"/>
  <c r="F648" i="10"/>
  <c r="E648" i="10"/>
  <c r="D648" i="10"/>
  <c r="C648" i="10"/>
  <c r="O647" i="10"/>
  <c r="N647" i="10"/>
  <c r="L647" i="10"/>
  <c r="K647" i="10"/>
  <c r="I647" i="10"/>
  <c r="H647" i="10"/>
  <c r="F647" i="10"/>
  <c r="E647" i="10"/>
  <c r="D647" i="10"/>
  <c r="C647" i="10"/>
  <c r="O646" i="10"/>
  <c r="N646" i="10"/>
  <c r="L646" i="10"/>
  <c r="K646" i="10"/>
  <c r="I646" i="10"/>
  <c r="H646" i="10"/>
  <c r="F646" i="10"/>
  <c r="E646" i="10"/>
  <c r="D646" i="10"/>
  <c r="C646" i="10"/>
  <c r="B645" i="10"/>
  <c r="B644" i="10"/>
  <c r="O635" i="10"/>
  <c r="N635" i="10"/>
  <c r="L635" i="10"/>
  <c r="K635" i="10"/>
  <c r="I635" i="10"/>
  <c r="H635" i="10"/>
  <c r="F635" i="10"/>
  <c r="E635" i="10"/>
  <c r="C635" i="10"/>
  <c r="R618" i="10"/>
  <c r="G618" i="10"/>
  <c r="R617" i="10"/>
  <c r="P617" i="10"/>
  <c r="M617" i="10"/>
  <c r="G617" i="10"/>
  <c r="R616" i="10"/>
  <c r="P616" i="10"/>
  <c r="M616" i="10"/>
  <c r="G616" i="10"/>
  <c r="Q616" i="10" s="1"/>
  <c r="R615" i="10"/>
  <c r="P615" i="10"/>
  <c r="M615" i="10"/>
  <c r="G615" i="10"/>
  <c r="R614" i="10"/>
  <c r="P614" i="10"/>
  <c r="M614" i="10"/>
  <c r="G614" i="10"/>
  <c r="R613" i="10"/>
  <c r="P613" i="10"/>
  <c r="M613" i="10"/>
  <c r="G613" i="10"/>
  <c r="R612" i="10"/>
  <c r="P612" i="10"/>
  <c r="M612" i="10"/>
  <c r="G612" i="10"/>
  <c r="Q612" i="10" s="1"/>
  <c r="R611" i="10"/>
  <c r="P611" i="10"/>
  <c r="M611" i="10"/>
  <c r="G611" i="10"/>
  <c r="R610" i="10"/>
  <c r="P610" i="10"/>
  <c r="M610" i="10"/>
  <c r="G610" i="10"/>
  <c r="R609" i="10"/>
  <c r="P609" i="10"/>
  <c r="M609" i="10"/>
  <c r="G609" i="10"/>
  <c r="R608" i="10"/>
  <c r="P608" i="10"/>
  <c r="M608" i="10"/>
  <c r="G608" i="10"/>
  <c r="Q608" i="10" s="1"/>
  <c r="R607" i="10"/>
  <c r="P607" i="10"/>
  <c r="M607" i="10"/>
  <c r="G607" i="10"/>
  <c r="R606" i="10"/>
  <c r="P606" i="10"/>
  <c r="M606" i="10"/>
  <c r="G606" i="10"/>
  <c r="R605" i="10"/>
  <c r="P605" i="10"/>
  <c r="M605" i="10"/>
  <c r="G605" i="10"/>
  <c r="R604" i="10"/>
  <c r="P604" i="10"/>
  <c r="M604" i="10"/>
  <c r="G604" i="10"/>
  <c r="Q604" i="10" s="1"/>
  <c r="R603" i="10"/>
  <c r="P603" i="10"/>
  <c r="M603" i="10"/>
  <c r="G603" i="10"/>
  <c r="R602" i="10"/>
  <c r="P602" i="10"/>
  <c r="M602" i="10"/>
  <c r="G602" i="10"/>
  <c r="R601" i="10"/>
  <c r="P601" i="10"/>
  <c r="M601" i="10"/>
  <c r="G601" i="10"/>
  <c r="R600" i="10"/>
  <c r="P600" i="10"/>
  <c r="M600" i="10"/>
  <c r="G600" i="10"/>
  <c r="Q600" i="10" s="1"/>
  <c r="R599" i="10"/>
  <c r="P599" i="10"/>
  <c r="M599" i="10"/>
  <c r="G599" i="10"/>
  <c r="R598" i="10"/>
  <c r="P598" i="10"/>
  <c r="M598" i="10"/>
  <c r="G598" i="10"/>
  <c r="R597" i="10"/>
  <c r="P597" i="10"/>
  <c r="M597" i="10"/>
  <c r="G597" i="10"/>
  <c r="R596" i="10"/>
  <c r="P596" i="10"/>
  <c r="M596" i="10"/>
  <c r="G596" i="10"/>
  <c r="Q596" i="10" s="1"/>
  <c r="R595" i="10"/>
  <c r="P595" i="10"/>
  <c r="M595" i="10"/>
  <c r="G595" i="10"/>
  <c r="R594" i="10"/>
  <c r="P594" i="10"/>
  <c r="M594" i="10"/>
  <c r="G594" i="10"/>
  <c r="R593" i="10"/>
  <c r="P593" i="10"/>
  <c r="M593" i="10"/>
  <c r="G593" i="10"/>
  <c r="R592" i="10"/>
  <c r="P592" i="10"/>
  <c r="M592" i="10"/>
  <c r="G592" i="10"/>
  <c r="Q592" i="10" s="1"/>
  <c r="R591" i="10"/>
  <c r="P591" i="10"/>
  <c r="M591" i="10"/>
  <c r="G591" i="10"/>
  <c r="R590" i="10"/>
  <c r="P590" i="10"/>
  <c r="M590" i="10"/>
  <c r="G590" i="10"/>
  <c r="R589" i="10"/>
  <c r="P589" i="10"/>
  <c r="M589" i="10"/>
  <c r="G589" i="10"/>
  <c r="R588" i="10"/>
  <c r="P588" i="10"/>
  <c r="M588" i="10"/>
  <c r="G588" i="10"/>
  <c r="Q588" i="10" s="1"/>
  <c r="R587" i="10"/>
  <c r="P587" i="10"/>
  <c r="M587" i="10"/>
  <c r="G587" i="10"/>
  <c r="R586" i="10"/>
  <c r="P586" i="10"/>
  <c r="M586" i="10"/>
  <c r="G586" i="10"/>
  <c r="Q586" i="10" s="1"/>
  <c r="R585" i="10"/>
  <c r="P585" i="10"/>
  <c r="M585" i="10"/>
  <c r="G585" i="10"/>
  <c r="R584" i="10"/>
  <c r="P584" i="10"/>
  <c r="M584" i="10"/>
  <c r="G584" i="10"/>
  <c r="Q584" i="10" s="1"/>
  <c r="R583" i="10"/>
  <c r="P583" i="10"/>
  <c r="M583" i="10"/>
  <c r="G583" i="10"/>
  <c r="R582" i="10"/>
  <c r="P582" i="10"/>
  <c r="M582" i="10"/>
  <c r="G582" i="10"/>
  <c r="O581" i="10"/>
  <c r="N581" i="10"/>
  <c r="N580" i="10" s="1"/>
  <c r="N670" i="10" s="1"/>
  <c r="L581" i="10"/>
  <c r="L580" i="10" s="1"/>
  <c r="L670" i="10" s="1"/>
  <c r="K581" i="10"/>
  <c r="K580" i="10" s="1"/>
  <c r="K670" i="10" s="1"/>
  <c r="I581" i="10"/>
  <c r="I580" i="10" s="1"/>
  <c r="I670" i="10" s="1"/>
  <c r="H581" i="10"/>
  <c r="H580" i="10" s="1"/>
  <c r="H670" i="10" s="1"/>
  <c r="F581" i="10"/>
  <c r="F580" i="10" s="1"/>
  <c r="F670" i="10" s="1"/>
  <c r="E581" i="10"/>
  <c r="E580" i="10" s="1"/>
  <c r="E670" i="10" s="1"/>
  <c r="D581" i="10"/>
  <c r="C581" i="10"/>
  <c r="C580" i="10" s="1"/>
  <c r="C670" i="10" s="1"/>
  <c r="O580" i="10"/>
  <c r="O670" i="10" s="1"/>
  <c r="D580" i="10"/>
  <c r="D670" i="10" s="1"/>
  <c r="G579" i="10"/>
  <c r="G578" i="10"/>
  <c r="G577" i="10"/>
  <c r="G576" i="10"/>
  <c r="G575" i="10"/>
  <c r="G574" i="10"/>
  <c r="G573" i="10"/>
  <c r="G572" i="10"/>
  <c r="G571" i="10"/>
  <c r="G570" i="10"/>
  <c r="G569" i="10"/>
  <c r="G568" i="10"/>
  <c r="G567" i="10"/>
  <c r="R566" i="10"/>
  <c r="P566" i="10"/>
  <c r="G566" i="10"/>
  <c r="Q566" i="10" s="1"/>
  <c r="R565" i="10"/>
  <c r="P565" i="10"/>
  <c r="G565" i="10"/>
  <c r="Q565" i="10" s="1"/>
  <c r="R564" i="10"/>
  <c r="P564" i="10"/>
  <c r="G564" i="10"/>
  <c r="Q564" i="10" s="1"/>
  <c r="R563" i="10"/>
  <c r="P563" i="10"/>
  <c r="G563" i="10"/>
  <c r="R562" i="10"/>
  <c r="P562" i="10"/>
  <c r="G562" i="10"/>
  <c r="R561" i="10"/>
  <c r="P561" i="10"/>
  <c r="G561" i="10"/>
  <c r="R560" i="10"/>
  <c r="P560" i="10"/>
  <c r="G560" i="10"/>
  <c r="Q560" i="10" s="1"/>
  <c r="R559" i="10"/>
  <c r="P559" i="10"/>
  <c r="G559" i="10"/>
  <c r="Q559" i="10" s="1"/>
  <c r="R558" i="10"/>
  <c r="P558" i="10"/>
  <c r="G558" i="10"/>
  <c r="Q558" i="10" s="1"/>
  <c r="R557" i="10"/>
  <c r="P557" i="10"/>
  <c r="G557" i="10"/>
  <c r="R556" i="10"/>
  <c r="P556" i="10"/>
  <c r="G556" i="10"/>
  <c r="R555" i="10"/>
  <c r="R668" i="10" s="1"/>
  <c r="P555" i="10"/>
  <c r="G555" i="10"/>
  <c r="R554" i="10"/>
  <c r="P554" i="10"/>
  <c r="G554" i="10"/>
  <c r="R553" i="10"/>
  <c r="P553" i="10"/>
  <c r="G553" i="10"/>
  <c r="G552" i="10"/>
  <c r="G551" i="10"/>
  <c r="G550" i="10"/>
  <c r="G549" i="10"/>
  <c r="G548" i="10"/>
  <c r="G547" i="10"/>
  <c r="G546" i="10"/>
  <c r="G545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31" i="10"/>
  <c r="G530" i="10"/>
  <c r="G529" i="10"/>
  <c r="G528" i="10"/>
  <c r="G527" i="10"/>
  <c r="G526" i="10"/>
  <c r="G525" i="10"/>
  <c r="G524" i="10"/>
  <c r="G523" i="10"/>
  <c r="G522" i="10"/>
  <c r="G521" i="10"/>
  <c r="G520" i="10"/>
  <c r="G519" i="10"/>
  <c r="G518" i="10"/>
  <c r="G517" i="10"/>
  <c r="G516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R470" i="10"/>
  <c r="P470" i="10"/>
  <c r="O470" i="10"/>
  <c r="O469" i="10" s="1"/>
  <c r="O669" i="10" s="1"/>
  <c r="N470" i="10"/>
  <c r="N469" i="10" s="1"/>
  <c r="N669" i="10" s="1"/>
  <c r="N662" i="10" s="1"/>
  <c r="M470" i="10"/>
  <c r="M469" i="10" s="1"/>
  <c r="L470" i="10"/>
  <c r="L469" i="10" s="1"/>
  <c r="L669" i="10" s="1"/>
  <c r="L662" i="10" s="1"/>
  <c r="K470" i="10"/>
  <c r="K469" i="10" s="1"/>
  <c r="K669" i="10" s="1"/>
  <c r="K662" i="10" s="1"/>
  <c r="I470" i="10"/>
  <c r="I469" i="10" s="1"/>
  <c r="I669" i="10" s="1"/>
  <c r="I662" i="10" s="1"/>
  <c r="H470" i="10"/>
  <c r="H469" i="10" s="1"/>
  <c r="H669" i="10" s="1"/>
  <c r="H662" i="10" s="1"/>
  <c r="F470" i="10"/>
  <c r="F469" i="10" s="1"/>
  <c r="F669" i="10" s="1"/>
  <c r="E470" i="10"/>
  <c r="E469" i="10" s="1"/>
  <c r="D470" i="10"/>
  <c r="D469" i="10" s="1"/>
  <c r="C470" i="10"/>
  <c r="C469" i="10" s="1"/>
  <c r="R468" i="10"/>
  <c r="R664" i="10" s="1"/>
  <c r="P468" i="10"/>
  <c r="P467" i="10" s="1"/>
  <c r="P466" i="10" s="1"/>
  <c r="P465" i="10" s="1"/>
  <c r="M468" i="10"/>
  <c r="M467" i="10" s="1"/>
  <c r="M466" i="10" s="1"/>
  <c r="M465" i="10" s="1"/>
  <c r="G468" i="10"/>
  <c r="O467" i="10"/>
  <c r="O466" i="10" s="1"/>
  <c r="O465" i="10" s="1"/>
  <c r="O661" i="10" s="1"/>
  <c r="N467" i="10"/>
  <c r="N466" i="10" s="1"/>
  <c r="N465" i="10" s="1"/>
  <c r="N661" i="10" s="1"/>
  <c r="L467" i="10"/>
  <c r="L466" i="10" s="1"/>
  <c r="L465" i="10" s="1"/>
  <c r="L661" i="10" s="1"/>
  <c r="K467" i="10"/>
  <c r="K466" i="10" s="1"/>
  <c r="K465" i="10" s="1"/>
  <c r="K661" i="10" s="1"/>
  <c r="I467" i="10"/>
  <c r="I466" i="10" s="1"/>
  <c r="I465" i="10" s="1"/>
  <c r="I661" i="10" s="1"/>
  <c r="H467" i="10"/>
  <c r="H466" i="10" s="1"/>
  <c r="H465" i="10" s="1"/>
  <c r="H661" i="10" s="1"/>
  <c r="F467" i="10"/>
  <c r="F466" i="10" s="1"/>
  <c r="F465" i="10" s="1"/>
  <c r="F661" i="10" s="1"/>
  <c r="E467" i="10"/>
  <c r="E466" i="10" s="1"/>
  <c r="E465" i="10" s="1"/>
  <c r="E661" i="10" s="1"/>
  <c r="D467" i="10"/>
  <c r="D466" i="10" s="1"/>
  <c r="D465" i="10" s="1"/>
  <c r="D661" i="10" s="1"/>
  <c r="C467" i="10"/>
  <c r="C466" i="10" s="1"/>
  <c r="C465" i="10" s="1"/>
  <c r="C661" i="10" s="1"/>
  <c r="R464" i="10"/>
  <c r="P464" i="10"/>
  <c r="M464" i="10"/>
  <c r="G464" i="10"/>
  <c r="Q464" i="10" s="1"/>
  <c r="R463" i="10"/>
  <c r="P463" i="10"/>
  <c r="M463" i="10"/>
  <c r="G463" i="10"/>
  <c r="O462" i="10"/>
  <c r="N462" i="10"/>
  <c r="L462" i="10"/>
  <c r="K462" i="10"/>
  <c r="I462" i="10"/>
  <c r="H462" i="10"/>
  <c r="F462" i="10"/>
  <c r="E462" i="10"/>
  <c r="D462" i="10"/>
  <c r="C462" i="10"/>
  <c r="R461" i="10"/>
  <c r="P461" i="10"/>
  <c r="M461" i="10"/>
  <c r="G461" i="10"/>
  <c r="Q461" i="10" s="1"/>
  <c r="R460" i="10"/>
  <c r="P460" i="10"/>
  <c r="M460" i="10"/>
  <c r="G460" i="10"/>
  <c r="O459" i="10"/>
  <c r="N459" i="10"/>
  <c r="L459" i="10"/>
  <c r="K459" i="10"/>
  <c r="I459" i="10"/>
  <c r="H459" i="10"/>
  <c r="F459" i="10"/>
  <c r="E459" i="10"/>
  <c r="D459" i="10"/>
  <c r="C459" i="10"/>
  <c r="R458" i="10"/>
  <c r="P458" i="10"/>
  <c r="M458" i="10"/>
  <c r="G458" i="10"/>
  <c r="Q458" i="10" s="1"/>
  <c r="R457" i="10"/>
  <c r="P457" i="10"/>
  <c r="M457" i="10"/>
  <c r="G457" i="10"/>
  <c r="Q457" i="10" s="1"/>
  <c r="R456" i="10"/>
  <c r="P456" i="10"/>
  <c r="M456" i="10"/>
  <c r="G456" i="10"/>
  <c r="Q456" i="10" s="1"/>
  <c r="O455" i="10"/>
  <c r="N455" i="10"/>
  <c r="L455" i="10"/>
  <c r="K455" i="10"/>
  <c r="I455" i="10"/>
  <c r="H455" i="10"/>
  <c r="F455" i="10"/>
  <c r="E455" i="10"/>
  <c r="D455" i="10"/>
  <c r="C455" i="10"/>
  <c r="R454" i="10"/>
  <c r="P454" i="10"/>
  <c r="M454" i="10"/>
  <c r="G454" i="10"/>
  <c r="R453" i="10"/>
  <c r="P453" i="10"/>
  <c r="M453" i="10"/>
  <c r="G453" i="10"/>
  <c r="Q453" i="10" s="1"/>
  <c r="O452" i="10"/>
  <c r="N452" i="10"/>
  <c r="L452" i="10"/>
  <c r="K452" i="10"/>
  <c r="I452" i="10"/>
  <c r="H452" i="10"/>
  <c r="F452" i="10"/>
  <c r="E452" i="10"/>
  <c r="D452" i="10"/>
  <c r="C452" i="10"/>
  <c r="R451" i="10"/>
  <c r="P451" i="10"/>
  <c r="M451" i="10"/>
  <c r="G451" i="10"/>
  <c r="R450" i="10"/>
  <c r="P450" i="10"/>
  <c r="M450" i="10"/>
  <c r="G450" i="10"/>
  <c r="O449" i="10"/>
  <c r="N449" i="10"/>
  <c r="L449" i="10"/>
  <c r="K449" i="10"/>
  <c r="I449" i="10"/>
  <c r="H449" i="10"/>
  <c r="F449" i="10"/>
  <c r="E449" i="10"/>
  <c r="D449" i="10"/>
  <c r="C449" i="10"/>
  <c r="R448" i="10"/>
  <c r="R447" i="10" s="1"/>
  <c r="P448" i="10"/>
  <c r="P447" i="10" s="1"/>
  <c r="M448" i="10"/>
  <c r="G448" i="10"/>
  <c r="O447" i="10"/>
  <c r="N447" i="10"/>
  <c r="M447" i="10"/>
  <c r="L447" i="10"/>
  <c r="K447" i="10"/>
  <c r="I447" i="10"/>
  <c r="H447" i="10"/>
  <c r="F447" i="10"/>
  <c r="E447" i="10"/>
  <c r="D447" i="10"/>
  <c r="C447" i="10"/>
  <c r="R443" i="10"/>
  <c r="P443" i="10"/>
  <c r="M443" i="10"/>
  <c r="G443" i="10"/>
  <c r="Q443" i="10" s="1"/>
  <c r="R442" i="10"/>
  <c r="P442" i="10"/>
  <c r="M442" i="10"/>
  <c r="M441" i="10" s="1"/>
  <c r="M440" i="10" s="1"/>
  <c r="G442" i="10"/>
  <c r="Q442" i="10" s="1"/>
  <c r="O441" i="10"/>
  <c r="O440" i="10" s="1"/>
  <c r="N441" i="10"/>
  <c r="N440" i="10" s="1"/>
  <c r="L441" i="10"/>
  <c r="K441" i="10"/>
  <c r="K440" i="10" s="1"/>
  <c r="I441" i="10"/>
  <c r="I440" i="10" s="1"/>
  <c r="H441" i="10"/>
  <c r="H440" i="10" s="1"/>
  <c r="F441" i="10"/>
  <c r="F440" i="10" s="1"/>
  <c r="E441" i="10"/>
  <c r="E440" i="10" s="1"/>
  <c r="D441" i="10"/>
  <c r="D440" i="10" s="1"/>
  <c r="C441" i="10"/>
  <c r="C440" i="10" s="1"/>
  <c r="L440" i="10"/>
  <c r="R439" i="10"/>
  <c r="P439" i="10"/>
  <c r="M439" i="10"/>
  <c r="G439" i="10"/>
  <c r="R438" i="10"/>
  <c r="R656" i="10" s="1"/>
  <c r="P438" i="10"/>
  <c r="M438" i="10"/>
  <c r="G438" i="10"/>
  <c r="R437" i="10"/>
  <c r="R655" i="10" s="1"/>
  <c r="P437" i="10"/>
  <c r="M437" i="10"/>
  <c r="G437" i="10"/>
  <c r="Q437" i="10" s="1"/>
  <c r="R436" i="10"/>
  <c r="P436" i="10"/>
  <c r="M436" i="10"/>
  <c r="G436" i="10"/>
  <c r="O435" i="10"/>
  <c r="O434" i="10" s="1"/>
  <c r="N435" i="10"/>
  <c r="N434" i="10" s="1"/>
  <c r="L435" i="10"/>
  <c r="L434" i="10" s="1"/>
  <c r="K435" i="10"/>
  <c r="K434" i="10" s="1"/>
  <c r="I435" i="10"/>
  <c r="I434" i="10" s="1"/>
  <c r="H435" i="10"/>
  <c r="H434" i="10" s="1"/>
  <c r="F435" i="10"/>
  <c r="F434" i="10" s="1"/>
  <c r="E435" i="10"/>
  <c r="E434" i="10" s="1"/>
  <c r="D435" i="10"/>
  <c r="D434" i="10" s="1"/>
  <c r="C435" i="10"/>
  <c r="C434" i="10" s="1"/>
  <c r="R431" i="10"/>
  <c r="R430" i="10" s="1"/>
  <c r="P431" i="10"/>
  <c r="P430" i="10" s="1"/>
  <c r="M431" i="10"/>
  <c r="M430" i="10" s="1"/>
  <c r="G431" i="10"/>
  <c r="O430" i="10"/>
  <c r="N430" i="10"/>
  <c r="L430" i="10"/>
  <c r="K430" i="10"/>
  <c r="I430" i="10"/>
  <c r="H430" i="10"/>
  <c r="F430" i="10"/>
  <c r="E430" i="10"/>
  <c r="D430" i="10"/>
  <c r="C430" i="10"/>
  <c r="R429" i="10"/>
  <c r="R428" i="10" s="1"/>
  <c r="R427" i="10" s="1"/>
  <c r="P429" i="10"/>
  <c r="P428" i="10" s="1"/>
  <c r="P427" i="10" s="1"/>
  <c r="M429" i="10"/>
  <c r="M428" i="10" s="1"/>
  <c r="M427" i="10" s="1"/>
  <c r="G429" i="10"/>
  <c r="O428" i="10"/>
  <c r="O427" i="10" s="1"/>
  <c r="N428" i="10"/>
  <c r="N427" i="10" s="1"/>
  <c r="L428" i="10"/>
  <c r="K428" i="10"/>
  <c r="K427" i="10" s="1"/>
  <c r="I428" i="10"/>
  <c r="I427" i="10" s="1"/>
  <c r="H428" i="10"/>
  <c r="H427" i="10" s="1"/>
  <c r="F428" i="10"/>
  <c r="F427" i="10" s="1"/>
  <c r="E428" i="10"/>
  <c r="E427" i="10" s="1"/>
  <c r="D428" i="10"/>
  <c r="D427" i="10" s="1"/>
  <c r="C428" i="10"/>
  <c r="C427" i="10" s="1"/>
  <c r="L427" i="10"/>
  <c r="R425" i="10"/>
  <c r="R424" i="10" s="1"/>
  <c r="P425" i="10"/>
  <c r="P424" i="10" s="1"/>
  <c r="M425" i="10"/>
  <c r="M424" i="10" s="1"/>
  <c r="G425" i="10"/>
  <c r="Q425" i="10" s="1"/>
  <c r="O424" i="10"/>
  <c r="N424" i="10"/>
  <c r="L424" i="10"/>
  <c r="K424" i="10"/>
  <c r="I424" i="10"/>
  <c r="H424" i="10"/>
  <c r="F424" i="10"/>
  <c r="E424" i="10"/>
  <c r="D424" i="10"/>
  <c r="C424" i="10"/>
  <c r="R423" i="10"/>
  <c r="P423" i="10"/>
  <c r="M423" i="10"/>
  <c r="G423" i="10"/>
  <c r="R422" i="10"/>
  <c r="P422" i="10"/>
  <c r="M422" i="10"/>
  <c r="G422" i="10"/>
  <c r="O421" i="10"/>
  <c r="N421" i="10"/>
  <c r="L421" i="10"/>
  <c r="L420" i="10" s="1"/>
  <c r="L419" i="10" s="1"/>
  <c r="K421" i="10"/>
  <c r="I421" i="10"/>
  <c r="H421" i="10"/>
  <c r="F421" i="10"/>
  <c r="E421" i="10"/>
  <c r="D421" i="10"/>
  <c r="C421" i="10"/>
  <c r="R418" i="10"/>
  <c r="R417" i="10" s="1"/>
  <c r="P418" i="10"/>
  <c r="P417" i="10" s="1"/>
  <c r="M418" i="10"/>
  <c r="M417" i="10" s="1"/>
  <c r="G418" i="10"/>
  <c r="O417" i="10"/>
  <c r="N417" i="10"/>
  <c r="L417" i="10"/>
  <c r="K417" i="10"/>
  <c r="I417" i="10"/>
  <c r="H417" i="10"/>
  <c r="F417" i="10"/>
  <c r="E417" i="10"/>
  <c r="D417" i="10"/>
  <c r="C417" i="10"/>
  <c r="R416" i="10"/>
  <c r="R415" i="10" s="1"/>
  <c r="P416" i="10"/>
  <c r="P415" i="10" s="1"/>
  <c r="M416" i="10"/>
  <c r="M415" i="10" s="1"/>
  <c r="G416" i="10"/>
  <c r="O415" i="10"/>
  <c r="N415" i="10"/>
  <c r="L415" i="10"/>
  <c r="K415" i="10"/>
  <c r="I415" i="10"/>
  <c r="H415" i="10"/>
  <c r="F415" i="10"/>
  <c r="E415" i="10"/>
  <c r="D415" i="10"/>
  <c r="C415" i="10"/>
  <c r="R414" i="10"/>
  <c r="P414" i="10"/>
  <c r="M414" i="10"/>
  <c r="G414" i="10"/>
  <c r="R413" i="10"/>
  <c r="P413" i="10"/>
  <c r="M413" i="10"/>
  <c r="G413" i="10"/>
  <c r="O412" i="10"/>
  <c r="N412" i="10"/>
  <c r="L412" i="10"/>
  <c r="K412" i="10"/>
  <c r="I412" i="10"/>
  <c r="H412" i="10"/>
  <c r="F412" i="10"/>
  <c r="E412" i="10"/>
  <c r="D412" i="10"/>
  <c r="C412" i="10"/>
  <c r="R411" i="10"/>
  <c r="R410" i="10" s="1"/>
  <c r="P411" i="10"/>
  <c r="P410" i="10" s="1"/>
  <c r="M411" i="10"/>
  <c r="M410" i="10" s="1"/>
  <c r="G411" i="10"/>
  <c r="O410" i="10"/>
  <c r="N410" i="10"/>
  <c r="L410" i="10"/>
  <c r="K410" i="10"/>
  <c r="I410" i="10"/>
  <c r="H410" i="10"/>
  <c r="F410" i="10"/>
  <c r="E410" i="10"/>
  <c r="D410" i="10"/>
  <c r="C410" i="10"/>
  <c r="R408" i="10"/>
  <c r="R407" i="10" s="1"/>
  <c r="P408" i="10"/>
  <c r="P407" i="10" s="1"/>
  <c r="M408" i="10"/>
  <c r="M407" i="10" s="1"/>
  <c r="G408" i="10"/>
  <c r="O407" i="10"/>
  <c r="N407" i="10"/>
  <c r="L407" i="10"/>
  <c r="K407" i="10"/>
  <c r="I407" i="10"/>
  <c r="H407" i="10"/>
  <c r="F407" i="10"/>
  <c r="E407" i="10"/>
  <c r="D407" i="10"/>
  <c r="C407" i="10"/>
  <c r="R406" i="10"/>
  <c r="P406" i="10"/>
  <c r="M406" i="10"/>
  <c r="G406" i="10"/>
  <c r="R405" i="10"/>
  <c r="P405" i="10"/>
  <c r="M405" i="10"/>
  <c r="G405" i="10"/>
  <c r="Q405" i="10" s="1"/>
  <c r="R404" i="10"/>
  <c r="P404" i="10"/>
  <c r="M404" i="10"/>
  <c r="G404" i="10"/>
  <c r="O403" i="10"/>
  <c r="N403" i="10"/>
  <c r="L403" i="10"/>
  <c r="K403" i="10"/>
  <c r="I403" i="10"/>
  <c r="H403" i="10"/>
  <c r="F403" i="10"/>
  <c r="E403" i="10"/>
  <c r="D403" i="10"/>
  <c r="C403" i="10"/>
  <c r="R402" i="10"/>
  <c r="P402" i="10"/>
  <c r="M402" i="10"/>
  <c r="G402" i="10"/>
  <c r="R401" i="10"/>
  <c r="P401" i="10"/>
  <c r="M401" i="10"/>
  <c r="G401" i="10"/>
  <c r="O400" i="10"/>
  <c r="N400" i="10"/>
  <c r="L400" i="10"/>
  <c r="K400" i="10"/>
  <c r="I400" i="10"/>
  <c r="H400" i="10"/>
  <c r="F400" i="10"/>
  <c r="E400" i="10"/>
  <c r="D400" i="10"/>
  <c r="C400" i="10"/>
  <c r="R398" i="10"/>
  <c r="P398" i="10"/>
  <c r="M398" i="10"/>
  <c r="G398" i="10"/>
  <c r="R397" i="10"/>
  <c r="P397" i="10"/>
  <c r="M397" i="10"/>
  <c r="G397" i="10"/>
  <c r="O396" i="10"/>
  <c r="N396" i="10"/>
  <c r="L396" i="10"/>
  <c r="K396" i="10"/>
  <c r="I396" i="10"/>
  <c r="H396" i="10"/>
  <c r="F396" i="10"/>
  <c r="E396" i="10"/>
  <c r="D396" i="10"/>
  <c r="C396" i="10"/>
  <c r="R395" i="10"/>
  <c r="P395" i="10"/>
  <c r="M395" i="10"/>
  <c r="G395" i="10"/>
  <c r="R394" i="10"/>
  <c r="P394" i="10"/>
  <c r="M394" i="10"/>
  <c r="G394" i="10"/>
  <c r="O393" i="10"/>
  <c r="N393" i="10"/>
  <c r="L393" i="10"/>
  <c r="K393" i="10"/>
  <c r="I393" i="10"/>
  <c r="H393" i="10"/>
  <c r="F393" i="10"/>
  <c r="E393" i="10"/>
  <c r="D393" i="10"/>
  <c r="C393" i="10"/>
  <c r="R392" i="10"/>
  <c r="P392" i="10"/>
  <c r="M392" i="10"/>
  <c r="G392" i="10"/>
  <c r="R391" i="10"/>
  <c r="P391" i="10"/>
  <c r="M391" i="10"/>
  <c r="G391" i="10"/>
  <c r="O390" i="10"/>
  <c r="N390" i="10"/>
  <c r="L390" i="10"/>
  <c r="K390" i="10"/>
  <c r="I390" i="10"/>
  <c r="H390" i="10"/>
  <c r="F390" i="10"/>
  <c r="E390" i="10"/>
  <c r="D390" i="10"/>
  <c r="C390" i="10"/>
  <c r="R388" i="10"/>
  <c r="P388" i="10"/>
  <c r="M388" i="10"/>
  <c r="G388" i="10"/>
  <c r="R387" i="10"/>
  <c r="P387" i="10"/>
  <c r="M387" i="10"/>
  <c r="G387" i="10"/>
  <c r="R386" i="10"/>
  <c r="P386" i="10"/>
  <c r="M386" i="10"/>
  <c r="G386" i="10"/>
  <c r="Q386" i="10" s="1"/>
  <c r="O385" i="10"/>
  <c r="N385" i="10"/>
  <c r="L385" i="10"/>
  <c r="K385" i="10"/>
  <c r="I385" i="10"/>
  <c r="H385" i="10"/>
  <c r="F385" i="10"/>
  <c r="E385" i="10"/>
  <c r="D385" i="10"/>
  <c r="C385" i="10"/>
  <c r="R384" i="10"/>
  <c r="P384" i="10"/>
  <c r="M384" i="10"/>
  <c r="G384" i="10"/>
  <c r="R383" i="10"/>
  <c r="P383" i="10"/>
  <c r="M383" i="10"/>
  <c r="G383" i="10"/>
  <c r="R382" i="10"/>
  <c r="P382" i="10"/>
  <c r="M382" i="10"/>
  <c r="G382" i="10"/>
  <c r="O381" i="10"/>
  <c r="N381" i="10"/>
  <c r="L381" i="10"/>
  <c r="K381" i="10"/>
  <c r="I381" i="10"/>
  <c r="H381" i="10"/>
  <c r="F381" i="10"/>
  <c r="E381" i="10"/>
  <c r="D381" i="10"/>
  <c r="C381" i="10"/>
  <c r="R380" i="10"/>
  <c r="R379" i="10" s="1"/>
  <c r="P380" i="10"/>
  <c r="P379" i="10" s="1"/>
  <c r="M380" i="10"/>
  <c r="M379" i="10" s="1"/>
  <c r="G380" i="10"/>
  <c r="O379" i="10"/>
  <c r="N379" i="10"/>
  <c r="L379" i="10"/>
  <c r="K379" i="10"/>
  <c r="I379" i="10"/>
  <c r="H379" i="10"/>
  <c r="F379" i="10"/>
  <c r="E379" i="10"/>
  <c r="D379" i="10"/>
  <c r="C379" i="10"/>
  <c r="R378" i="10"/>
  <c r="P378" i="10"/>
  <c r="M378" i="10"/>
  <c r="G378" i="10"/>
  <c r="R377" i="10"/>
  <c r="P377" i="10"/>
  <c r="M377" i="10"/>
  <c r="G377" i="10"/>
  <c r="O376" i="10"/>
  <c r="N376" i="10"/>
  <c r="L376" i="10"/>
  <c r="K376" i="10"/>
  <c r="I376" i="10"/>
  <c r="H376" i="10"/>
  <c r="F376" i="10"/>
  <c r="E376" i="10"/>
  <c r="D376" i="10"/>
  <c r="C376" i="10"/>
  <c r="R375" i="10"/>
  <c r="P375" i="10"/>
  <c r="M375" i="10"/>
  <c r="G375" i="10"/>
  <c r="R374" i="10"/>
  <c r="P374" i="10"/>
  <c r="M374" i="10"/>
  <c r="G374" i="10"/>
  <c r="O373" i="10"/>
  <c r="N373" i="10"/>
  <c r="L373" i="10"/>
  <c r="K373" i="10"/>
  <c r="I373" i="10"/>
  <c r="H373" i="10"/>
  <c r="F373" i="10"/>
  <c r="E373" i="10"/>
  <c r="D373" i="10"/>
  <c r="C373" i="10"/>
  <c r="R372" i="10"/>
  <c r="P372" i="10"/>
  <c r="M372" i="10"/>
  <c r="G372" i="10"/>
  <c r="R371" i="10"/>
  <c r="P371" i="10"/>
  <c r="M371" i="10"/>
  <c r="G371" i="10"/>
  <c r="O370" i="10"/>
  <c r="N370" i="10"/>
  <c r="L370" i="10"/>
  <c r="K370" i="10"/>
  <c r="I370" i="10"/>
  <c r="H370" i="10"/>
  <c r="F370" i="10"/>
  <c r="E370" i="10"/>
  <c r="D370" i="10"/>
  <c r="C370" i="10"/>
  <c r="R369" i="10"/>
  <c r="P369" i="10"/>
  <c r="M369" i="10"/>
  <c r="G369" i="10"/>
  <c r="R368" i="10"/>
  <c r="P368" i="10"/>
  <c r="M368" i="10"/>
  <c r="G368" i="10"/>
  <c r="Q368" i="10" s="1"/>
  <c r="R367" i="10"/>
  <c r="P367" i="10"/>
  <c r="M367" i="10"/>
  <c r="G367" i="10"/>
  <c r="O366" i="10"/>
  <c r="N366" i="10"/>
  <c r="L366" i="10"/>
  <c r="K366" i="10"/>
  <c r="I366" i="10"/>
  <c r="H366" i="10"/>
  <c r="F366" i="10"/>
  <c r="E366" i="10"/>
  <c r="D366" i="10"/>
  <c r="C366" i="10"/>
  <c r="R365" i="10"/>
  <c r="R364" i="10" s="1"/>
  <c r="P365" i="10"/>
  <c r="P364" i="10" s="1"/>
  <c r="M365" i="10"/>
  <c r="M364" i="10" s="1"/>
  <c r="G365" i="10"/>
  <c r="O364" i="10"/>
  <c r="N364" i="10"/>
  <c r="L364" i="10"/>
  <c r="K364" i="10"/>
  <c r="I364" i="10"/>
  <c r="H364" i="10"/>
  <c r="F364" i="10"/>
  <c r="E364" i="10"/>
  <c r="D364" i="10"/>
  <c r="C364" i="10"/>
  <c r="R363" i="10"/>
  <c r="P363" i="10"/>
  <c r="M363" i="10"/>
  <c r="G363" i="10"/>
  <c r="R362" i="10"/>
  <c r="P362" i="10"/>
  <c r="M362" i="10"/>
  <c r="G362" i="10"/>
  <c r="O361" i="10"/>
  <c r="N361" i="10"/>
  <c r="L361" i="10"/>
  <c r="K361" i="10"/>
  <c r="I361" i="10"/>
  <c r="H361" i="10"/>
  <c r="F361" i="10"/>
  <c r="E361" i="10"/>
  <c r="D361" i="10"/>
  <c r="C361" i="10"/>
  <c r="R360" i="10"/>
  <c r="P360" i="10"/>
  <c r="M360" i="10"/>
  <c r="G360" i="10"/>
  <c r="R359" i="10"/>
  <c r="P359" i="10"/>
  <c r="M359" i="10"/>
  <c r="G359" i="10"/>
  <c r="R358" i="10"/>
  <c r="P358" i="10"/>
  <c r="M358" i="10"/>
  <c r="G358" i="10"/>
  <c r="O357" i="10"/>
  <c r="N357" i="10"/>
  <c r="L357" i="10"/>
  <c r="K357" i="10"/>
  <c r="I357" i="10"/>
  <c r="H357" i="10"/>
  <c r="F357" i="10"/>
  <c r="E357" i="10"/>
  <c r="D357" i="10"/>
  <c r="C357" i="10"/>
  <c r="R356" i="10"/>
  <c r="P356" i="10"/>
  <c r="M356" i="10"/>
  <c r="G356" i="10"/>
  <c r="Q356" i="10" s="1"/>
  <c r="R355" i="10"/>
  <c r="P355" i="10"/>
  <c r="M355" i="10"/>
  <c r="G355" i="10"/>
  <c r="R354" i="10"/>
  <c r="P354" i="10"/>
  <c r="P353" i="10" s="1"/>
  <c r="M354" i="10"/>
  <c r="G354" i="10"/>
  <c r="O353" i="10"/>
  <c r="N353" i="10"/>
  <c r="L353" i="10"/>
  <c r="K353" i="10"/>
  <c r="I353" i="10"/>
  <c r="H353" i="10"/>
  <c r="F353" i="10"/>
  <c r="E353" i="10"/>
  <c r="D353" i="10"/>
  <c r="C353" i="10"/>
  <c r="R352" i="10"/>
  <c r="P352" i="10"/>
  <c r="M352" i="10"/>
  <c r="G352" i="10"/>
  <c r="R351" i="10"/>
  <c r="P351" i="10"/>
  <c r="M351" i="10"/>
  <c r="G351" i="10"/>
  <c r="R350" i="10"/>
  <c r="P350" i="10"/>
  <c r="M350" i="10"/>
  <c r="G350" i="10"/>
  <c r="O349" i="10"/>
  <c r="N349" i="10"/>
  <c r="L349" i="10"/>
  <c r="K349" i="10"/>
  <c r="I349" i="10"/>
  <c r="H349" i="10"/>
  <c r="F349" i="10"/>
  <c r="E349" i="10"/>
  <c r="D349" i="10"/>
  <c r="C349" i="10"/>
  <c r="R344" i="10"/>
  <c r="P344" i="10"/>
  <c r="M344" i="10"/>
  <c r="G344" i="10"/>
  <c r="R343" i="10"/>
  <c r="P343" i="10"/>
  <c r="M343" i="10"/>
  <c r="G343" i="10"/>
  <c r="Q343" i="10" s="1"/>
  <c r="O342" i="10"/>
  <c r="O341" i="10" s="1"/>
  <c r="O340" i="10" s="1"/>
  <c r="N342" i="10"/>
  <c r="N341" i="10" s="1"/>
  <c r="N340" i="10" s="1"/>
  <c r="L342" i="10"/>
  <c r="L341" i="10" s="1"/>
  <c r="L340" i="10" s="1"/>
  <c r="K342" i="10"/>
  <c r="K341" i="10" s="1"/>
  <c r="K340" i="10" s="1"/>
  <c r="I342" i="10"/>
  <c r="I341" i="10" s="1"/>
  <c r="I340" i="10" s="1"/>
  <c r="H342" i="10"/>
  <c r="H341" i="10" s="1"/>
  <c r="H340" i="10" s="1"/>
  <c r="F342" i="10"/>
  <c r="F341" i="10" s="1"/>
  <c r="F340" i="10" s="1"/>
  <c r="E342" i="10"/>
  <c r="E341" i="10" s="1"/>
  <c r="E340" i="10" s="1"/>
  <c r="D342" i="10"/>
  <c r="D341" i="10" s="1"/>
  <c r="D340" i="10" s="1"/>
  <c r="C342" i="10"/>
  <c r="C341" i="10"/>
  <c r="C340" i="10" s="1"/>
  <c r="R339" i="10"/>
  <c r="P339" i="10"/>
  <c r="M339" i="10"/>
  <c r="G339" i="10"/>
  <c r="R338" i="10"/>
  <c r="P338" i="10"/>
  <c r="M338" i="10"/>
  <c r="G338" i="10"/>
  <c r="O337" i="10"/>
  <c r="O336" i="10" s="1"/>
  <c r="O335" i="10" s="1"/>
  <c r="N337" i="10"/>
  <c r="N336" i="10" s="1"/>
  <c r="N335" i="10" s="1"/>
  <c r="L337" i="10"/>
  <c r="L336" i="10" s="1"/>
  <c r="L335" i="10" s="1"/>
  <c r="K337" i="10"/>
  <c r="K336" i="10" s="1"/>
  <c r="K335" i="10" s="1"/>
  <c r="I337" i="10"/>
  <c r="I336" i="10" s="1"/>
  <c r="I335" i="10" s="1"/>
  <c r="H337" i="10"/>
  <c r="H336" i="10" s="1"/>
  <c r="H335" i="10" s="1"/>
  <c r="F337" i="10"/>
  <c r="F336" i="10" s="1"/>
  <c r="F335" i="10" s="1"/>
  <c r="E337" i="10"/>
  <c r="E336" i="10" s="1"/>
  <c r="E335" i="10" s="1"/>
  <c r="D337" i="10"/>
  <c r="D336" i="10" s="1"/>
  <c r="D335" i="10" s="1"/>
  <c r="C337" i="10"/>
  <c r="C336" i="10" s="1"/>
  <c r="C335" i="10" s="1"/>
  <c r="R334" i="10"/>
  <c r="P334" i="10"/>
  <c r="M334" i="10"/>
  <c r="G334" i="10"/>
  <c r="R333" i="10"/>
  <c r="P333" i="10"/>
  <c r="M333" i="10"/>
  <c r="G333" i="10"/>
  <c r="Q333" i="10" s="1"/>
  <c r="R332" i="10"/>
  <c r="P332" i="10"/>
  <c r="M332" i="10"/>
  <c r="G332" i="10"/>
  <c r="O331" i="10"/>
  <c r="O330" i="10" s="1"/>
  <c r="N331" i="10"/>
  <c r="N330" i="10" s="1"/>
  <c r="L331" i="10"/>
  <c r="L330" i="10" s="1"/>
  <c r="K331" i="10"/>
  <c r="K330" i="10" s="1"/>
  <c r="I331" i="10"/>
  <c r="I330" i="10" s="1"/>
  <c r="H331" i="10"/>
  <c r="H330" i="10" s="1"/>
  <c r="F331" i="10"/>
  <c r="F330" i="10" s="1"/>
  <c r="E331" i="10"/>
  <c r="E330" i="10" s="1"/>
  <c r="D331" i="10"/>
  <c r="D330" i="10" s="1"/>
  <c r="C331" i="10"/>
  <c r="C330" i="10" s="1"/>
  <c r="R328" i="10"/>
  <c r="P328" i="10"/>
  <c r="M328" i="10"/>
  <c r="G328" i="10"/>
  <c r="R327" i="10"/>
  <c r="P327" i="10"/>
  <c r="M327" i="10"/>
  <c r="G327" i="10"/>
  <c r="O326" i="10"/>
  <c r="N326" i="10"/>
  <c r="L326" i="10"/>
  <c r="K326" i="10"/>
  <c r="I326" i="10"/>
  <c r="H326" i="10"/>
  <c r="F326" i="10"/>
  <c r="E326" i="10"/>
  <c r="D326" i="10"/>
  <c r="C326" i="10"/>
  <c r="R325" i="10"/>
  <c r="R324" i="10" s="1"/>
  <c r="P325" i="10"/>
  <c r="P324" i="10" s="1"/>
  <c r="M325" i="10"/>
  <c r="M324" i="10" s="1"/>
  <c r="G325" i="10"/>
  <c r="O324" i="10"/>
  <c r="N324" i="10"/>
  <c r="L324" i="10"/>
  <c r="K324" i="10"/>
  <c r="I324" i="10"/>
  <c r="H324" i="10"/>
  <c r="F324" i="10"/>
  <c r="E324" i="10"/>
  <c r="D324" i="10"/>
  <c r="C324" i="10"/>
  <c r="R323" i="10"/>
  <c r="P323" i="10"/>
  <c r="M323" i="10"/>
  <c r="G323" i="10"/>
  <c r="R322" i="10"/>
  <c r="P322" i="10"/>
  <c r="M322" i="10"/>
  <c r="G322" i="10"/>
  <c r="R321" i="10"/>
  <c r="P321" i="10"/>
  <c r="M321" i="10"/>
  <c r="G321" i="10"/>
  <c r="O320" i="10"/>
  <c r="O319" i="10" s="1"/>
  <c r="N320" i="10"/>
  <c r="L320" i="10"/>
  <c r="K320" i="10"/>
  <c r="K319" i="10" s="1"/>
  <c r="I320" i="10"/>
  <c r="H320" i="10"/>
  <c r="F320" i="10"/>
  <c r="E320" i="10"/>
  <c r="D320" i="10"/>
  <c r="C320" i="10"/>
  <c r="R316" i="10"/>
  <c r="R315" i="10" s="1"/>
  <c r="P316" i="10"/>
  <c r="P315" i="10" s="1"/>
  <c r="M316" i="10"/>
  <c r="M315" i="10" s="1"/>
  <c r="G316" i="10"/>
  <c r="O315" i="10"/>
  <c r="N315" i="10"/>
  <c r="L315" i="10"/>
  <c r="K315" i="10"/>
  <c r="I315" i="10"/>
  <c r="H315" i="10"/>
  <c r="F315" i="10"/>
  <c r="E315" i="10"/>
  <c r="D315" i="10"/>
  <c r="C315" i="10"/>
  <c r="R314" i="10"/>
  <c r="P314" i="10"/>
  <c r="M314" i="10"/>
  <c r="G314" i="10"/>
  <c r="R313" i="10"/>
  <c r="P313" i="10"/>
  <c r="M313" i="10"/>
  <c r="G313" i="10"/>
  <c r="O312" i="10"/>
  <c r="N312" i="10"/>
  <c r="L312" i="10"/>
  <c r="K312" i="10"/>
  <c r="I312" i="10"/>
  <c r="H312" i="10"/>
  <c r="F312" i="10"/>
  <c r="E312" i="10"/>
  <c r="D312" i="10"/>
  <c r="C312" i="10"/>
  <c r="R311" i="10"/>
  <c r="P311" i="10"/>
  <c r="M311" i="10"/>
  <c r="G311" i="10"/>
  <c r="R310" i="10"/>
  <c r="P310" i="10"/>
  <c r="M310" i="10"/>
  <c r="G310" i="10"/>
  <c r="Q310" i="10" s="1"/>
  <c r="O309" i="10"/>
  <c r="N309" i="10"/>
  <c r="L309" i="10"/>
  <c r="K309" i="10"/>
  <c r="I309" i="10"/>
  <c r="H309" i="10"/>
  <c r="F309" i="10"/>
  <c r="E309" i="10"/>
  <c r="D309" i="10"/>
  <c r="C309" i="10"/>
  <c r="R307" i="10"/>
  <c r="R306" i="10" s="1"/>
  <c r="P307" i="10"/>
  <c r="P306" i="10" s="1"/>
  <c r="M307" i="10"/>
  <c r="M306" i="10" s="1"/>
  <c r="G307" i="10"/>
  <c r="O306" i="10"/>
  <c r="N306" i="10"/>
  <c r="L306" i="10"/>
  <c r="K306" i="10"/>
  <c r="I306" i="10"/>
  <c r="H306" i="10"/>
  <c r="F306" i="10"/>
  <c r="E306" i="10"/>
  <c r="D306" i="10"/>
  <c r="C306" i="10"/>
  <c r="R302" i="10"/>
  <c r="R301" i="10" s="1"/>
  <c r="R300" i="10" s="1"/>
  <c r="P302" i="10"/>
  <c r="P301" i="10" s="1"/>
  <c r="P300" i="10" s="1"/>
  <c r="M302" i="10"/>
  <c r="M301" i="10" s="1"/>
  <c r="M300" i="10" s="1"/>
  <c r="G302" i="10"/>
  <c r="O301" i="10"/>
  <c r="N301" i="10"/>
  <c r="N300" i="10" s="1"/>
  <c r="L301" i="10"/>
  <c r="L300" i="10" s="1"/>
  <c r="K301" i="10"/>
  <c r="K300" i="10" s="1"/>
  <c r="I301" i="10"/>
  <c r="I300" i="10" s="1"/>
  <c r="H301" i="10"/>
  <c r="H300" i="10" s="1"/>
  <c r="F301" i="10"/>
  <c r="F300" i="10" s="1"/>
  <c r="E301" i="10"/>
  <c r="E300" i="10" s="1"/>
  <c r="D301" i="10"/>
  <c r="D300" i="10" s="1"/>
  <c r="C301" i="10"/>
  <c r="C300" i="10" s="1"/>
  <c r="O300" i="10"/>
  <c r="R299" i="10"/>
  <c r="R298" i="10" s="1"/>
  <c r="R297" i="10" s="1"/>
  <c r="R296" i="10" s="1"/>
  <c r="P299" i="10"/>
  <c r="P298" i="10" s="1"/>
  <c r="P297" i="10" s="1"/>
  <c r="P296" i="10" s="1"/>
  <c r="M299" i="10"/>
  <c r="M298" i="10" s="1"/>
  <c r="M297" i="10" s="1"/>
  <c r="M296" i="10" s="1"/>
  <c r="G299" i="10"/>
  <c r="O298" i="10"/>
  <c r="O297" i="10" s="1"/>
  <c r="O296" i="10" s="1"/>
  <c r="N298" i="10"/>
  <c r="N297" i="10" s="1"/>
  <c r="N296" i="10" s="1"/>
  <c r="L298" i="10"/>
  <c r="L297" i="10" s="1"/>
  <c r="L296" i="10" s="1"/>
  <c r="K298" i="10"/>
  <c r="I298" i="10"/>
  <c r="I297" i="10" s="1"/>
  <c r="I296" i="10" s="1"/>
  <c r="H298" i="10"/>
  <c r="H297" i="10" s="1"/>
  <c r="H296" i="10" s="1"/>
  <c r="F298" i="10"/>
  <c r="F297" i="10" s="1"/>
  <c r="F296" i="10" s="1"/>
  <c r="E298" i="10"/>
  <c r="E297" i="10" s="1"/>
  <c r="E296" i="10" s="1"/>
  <c r="D298" i="10"/>
  <c r="D297" i="10" s="1"/>
  <c r="D296" i="10" s="1"/>
  <c r="C298" i="10"/>
  <c r="C297" i="10" s="1"/>
  <c r="C296" i="10" s="1"/>
  <c r="K297" i="10"/>
  <c r="K296" i="10" s="1"/>
  <c r="R295" i="10"/>
  <c r="R294" i="10" s="1"/>
  <c r="R293" i="10" s="1"/>
  <c r="R292" i="10" s="1"/>
  <c r="P295" i="10"/>
  <c r="P294" i="10" s="1"/>
  <c r="P293" i="10" s="1"/>
  <c r="P292" i="10" s="1"/>
  <c r="M295" i="10"/>
  <c r="M294" i="10" s="1"/>
  <c r="M293" i="10" s="1"/>
  <c r="M292" i="10" s="1"/>
  <c r="G295" i="10"/>
  <c r="Q295" i="10" s="1"/>
  <c r="O294" i="10"/>
  <c r="O293" i="10" s="1"/>
  <c r="O292" i="10" s="1"/>
  <c r="N294" i="10"/>
  <c r="N293" i="10" s="1"/>
  <c r="N292" i="10" s="1"/>
  <c r="L294" i="10"/>
  <c r="L293" i="10" s="1"/>
  <c r="L292" i="10" s="1"/>
  <c r="K294" i="10"/>
  <c r="K293" i="10" s="1"/>
  <c r="K292" i="10" s="1"/>
  <c r="I294" i="10"/>
  <c r="I293" i="10" s="1"/>
  <c r="I292" i="10" s="1"/>
  <c r="H294" i="10"/>
  <c r="H293" i="10" s="1"/>
  <c r="H292" i="10" s="1"/>
  <c r="F294" i="10"/>
  <c r="F293" i="10" s="1"/>
  <c r="F292" i="10" s="1"/>
  <c r="E294" i="10"/>
  <c r="E293" i="10" s="1"/>
  <c r="E292" i="10" s="1"/>
  <c r="D294" i="10"/>
  <c r="D293" i="10" s="1"/>
  <c r="D292" i="10" s="1"/>
  <c r="C294" i="10"/>
  <c r="C293" i="10" s="1"/>
  <c r="C292" i="10" s="1"/>
  <c r="R290" i="10"/>
  <c r="R289" i="10" s="1"/>
  <c r="R288" i="10" s="1"/>
  <c r="R287" i="10" s="1"/>
  <c r="P290" i="10"/>
  <c r="P289" i="10" s="1"/>
  <c r="P288" i="10" s="1"/>
  <c r="P287" i="10" s="1"/>
  <c r="M290" i="10"/>
  <c r="M289" i="10" s="1"/>
  <c r="M288" i="10" s="1"/>
  <c r="M287" i="10" s="1"/>
  <c r="G290" i="10"/>
  <c r="O289" i="10"/>
  <c r="O288" i="10" s="1"/>
  <c r="O287" i="10" s="1"/>
  <c r="N289" i="10"/>
  <c r="N288" i="10" s="1"/>
  <c r="N287" i="10" s="1"/>
  <c r="L289" i="10"/>
  <c r="L288" i="10" s="1"/>
  <c r="L287" i="10" s="1"/>
  <c r="K289" i="10"/>
  <c r="K288" i="10" s="1"/>
  <c r="K287" i="10" s="1"/>
  <c r="I289" i="10"/>
  <c r="I288" i="10" s="1"/>
  <c r="I287" i="10" s="1"/>
  <c r="H289" i="10"/>
  <c r="H288" i="10" s="1"/>
  <c r="H287" i="10" s="1"/>
  <c r="F289" i="10"/>
  <c r="F288" i="10" s="1"/>
  <c r="F287" i="10" s="1"/>
  <c r="E289" i="10"/>
  <c r="E288" i="10" s="1"/>
  <c r="E287" i="10" s="1"/>
  <c r="D289" i="10"/>
  <c r="D288" i="10" s="1"/>
  <c r="D287" i="10" s="1"/>
  <c r="C289" i="10"/>
  <c r="C288" i="10" s="1"/>
  <c r="C287" i="10" s="1"/>
  <c r="R286" i="10"/>
  <c r="R285" i="10" s="1"/>
  <c r="R284" i="10" s="1"/>
  <c r="R283" i="10" s="1"/>
  <c r="P286" i="10"/>
  <c r="P285" i="10" s="1"/>
  <c r="P284" i="10" s="1"/>
  <c r="P283" i="10" s="1"/>
  <c r="M286" i="10"/>
  <c r="M285" i="10" s="1"/>
  <c r="M284" i="10" s="1"/>
  <c r="M283" i="10" s="1"/>
  <c r="G286" i="10"/>
  <c r="O285" i="10"/>
  <c r="N285" i="10"/>
  <c r="N284" i="10" s="1"/>
  <c r="N283" i="10" s="1"/>
  <c r="L285" i="10"/>
  <c r="L284" i="10" s="1"/>
  <c r="L283" i="10" s="1"/>
  <c r="K285" i="10"/>
  <c r="I285" i="10"/>
  <c r="I284" i="10" s="1"/>
  <c r="I283" i="10" s="1"/>
  <c r="H285" i="10"/>
  <c r="H284" i="10" s="1"/>
  <c r="H283" i="10" s="1"/>
  <c r="F285" i="10"/>
  <c r="F284" i="10" s="1"/>
  <c r="F283" i="10" s="1"/>
  <c r="E285" i="10"/>
  <c r="E284" i="10" s="1"/>
  <c r="E283" i="10" s="1"/>
  <c r="D285" i="10"/>
  <c r="C285" i="10"/>
  <c r="C284" i="10" s="1"/>
  <c r="C283" i="10" s="1"/>
  <c r="O284" i="10"/>
  <c r="O283" i="10" s="1"/>
  <c r="K284" i="10"/>
  <c r="K283" i="10" s="1"/>
  <c r="D284" i="10"/>
  <c r="D283" i="10" s="1"/>
  <c r="R281" i="10"/>
  <c r="R280" i="10" s="1"/>
  <c r="R633" i="10" s="1"/>
  <c r="P281" i="10"/>
  <c r="P280" i="10" s="1"/>
  <c r="M281" i="10"/>
  <c r="M280" i="10" s="1"/>
  <c r="G281" i="10"/>
  <c r="O280" i="10"/>
  <c r="O633" i="10" s="1"/>
  <c r="N280" i="10"/>
  <c r="N633" i="10" s="1"/>
  <c r="L280" i="10"/>
  <c r="L633" i="10" s="1"/>
  <c r="K280" i="10"/>
  <c r="K633" i="10" s="1"/>
  <c r="I280" i="10"/>
  <c r="I633" i="10" s="1"/>
  <c r="H280" i="10"/>
  <c r="H633" i="10" s="1"/>
  <c r="F280" i="10"/>
  <c r="F633" i="10" s="1"/>
  <c r="E280" i="10"/>
  <c r="E633" i="10" s="1"/>
  <c r="D280" i="10"/>
  <c r="D633" i="10" s="1"/>
  <c r="C280" i="10"/>
  <c r="C633" i="10" s="1"/>
  <c r="R279" i="10"/>
  <c r="R278" i="10" s="1"/>
  <c r="P279" i="10"/>
  <c r="P278" i="10" s="1"/>
  <c r="M279" i="10"/>
  <c r="M278" i="10" s="1"/>
  <c r="G279" i="10"/>
  <c r="O278" i="10"/>
  <c r="N278" i="10"/>
  <c r="L278" i="10"/>
  <c r="K278" i="10"/>
  <c r="I278" i="10"/>
  <c r="H278" i="10"/>
  <c r="F278" i="10"/>
  <c r="E278" i="10"/>
  <c r="D278" i="10"/>
  <c r="C278" i="10"/>
  <c r="R277" i="10"/>
  <c r="P277" i="10"/>
  <c r="M277" i="10"/>
  <c r="G277" i="10"/>
  <c r="R276" i="10"/>
  <c r="P276" i="10"/>
  <c r="M276" i="10"/>
  <c r="G276" i="10"/>
  <c r="O275" i="10"/>
  <c r="N275" i="10"/>
  <c r="L275" i="10"/>
  <c r="K275" i="10"/>
  <c r="I275" i="10"/>
  <c r="H275" i="10"/>
  <c r="F275" i="10"/>
  <c r="E275" i="10"/>
  <c r="D275" i="10"/>
  <c r="C275" i="10"/>
  <c r="R274" i="10"/>
  <c r="P274" i="10"/>
  <c r="M274" i="10"/>
  <c r="G274" i="10"/>
  <c r="R273" i="10"/>
  <c r="P273" i="10"/>
  <c r="M273" i="10"/>
  <c r="G273" i="10"/>
  <c r="Q273" i="10" s="1"/>
  <c r="R272" i="10"/>
  <c r="P272" i="10"/>
  <c r="M272" i="10"/>
  <c r="G272" i="10"/>
  <c r="O271" i="10"/>
  <c r="N271" i="10"/>
  <c r="L271" i="10"/>
  <c r="K271" i="10"/>
  <c r="I271" i="10"/>
  <c r="H271" i="10"/>
  <c r="F271" i="10"/>
  <c r="E271" i="10"/>
  <c r="D271" i="10"/>
  <c r="C271" i="10"/>
  <c r="R269" i="10"/>
  <c r="R268" i="10" s="1"/>
  <c r="P269" i="10"/>
  <c r="P268" i="10" s="1"/>
  <c r="M269" i="10"/>
  <c r="M268" i="10" s="1"/>
  <c r="D269" i="10"/>
  <c r="D268" i="10" s="1"/>
  <c r="D632" i="10" s="1"/>
  <c r="O268" i="10"/>
  <c r="O632" i="10" s="1"/>
  <c r="N268" i="10"/>
  <c r="N632" i="10" s="1"/>
  <c r="L268" i="10"/>
  <c r="L632" i="10" s="1"/>
  <c r="K268" i="10"/>
  <c r="K632" i="10" s="1"/>
  <c r="I268" i="10"/>
  <c r="I632" i="10" s="1"/>
  <c r="H268" i="10"/>
  <c r="H632" i="10" s="1"/>
  <c r="F268" i="10"/>
  <c r="F632" i="10" s="1"/>
  <c r="E268" i="10"/>
  <c r="E632" i="10" s="1"/>
  <c r="C268" i="10"/>
  <c r="C632" i="10" s="1"/>
  <c r="R267" i="10"/>
  <c r="R266" i="10" s="1"/>
  <c r="P267" i="10"/>
  <c r="P266" i="10" s="1"/>
  <c r="M267" i="10"/>
  <c r="M266" i="10" s="1"/>
  <c r="G267" i="10"/>
  <c r="Q267" i="10" s="1"/>
  <c r="O266" i="10"/>
  <c r="N266" i="10"/>
  <c r="L266" i="10"/>
  <c r="K266" i="10"/>
  <c r="I266" i="10"/>
  <c r="H266" i="10"/>
  <c r="F266" i="10"/>
  <c r="E266" i="10"/>
  <c r="D266" i="10"/>
  <c r="C266" i="10"/>
  <c r="R265" i="10"/>
  <c r="R264" i="10" s="1"/>
  <c r="P265" i="10"/>
  <c r="P264" i="10" s="1"/>
  <c r="M265" i="10"/>
  <c r="M264" i="10" s="1"/>
  <c r="G265" i="10"/>
  <c r="O264" i="10"/>
  <c r="N264" i="10"/>
  <c r="L264" i="10"/>
  <c r="K264" i="10"/>
  <c r="I264" i="10"/>
  <c r="H264" i="10"/>
  <c r="F264" i="10"/>
  <c r="E264" i="10"/>
  <c r="D264" i="10"/>
  <c r="C264" i="10"/>
  <c r="R263" i="10"/>
  <c r="P263" i="10"/>
  <c r="M263" i="10"/>
  <c r="G263" i="10"/>
  <c r="Q263" i="10" s="1"/>
  <c r="R262" i="10"/>
  <c r="P262" i="10"/>
  <c r="M262" i="10"/>
  <c r="D262" i="10"/>
  <c r="G262" i="10" s="1"/>
  <c r="R261" i="10"/>
  <c r="P261" i="10"/>
  <c r="M261" i="10"/>
  <c r="G261" i="10"/>
  <c r="R260" i="10"/>
  <c r="P260" i="10"/>
  <c r="M260" i="10"/>
  <c r="G260" i="10"/>
  <c r="R259" i="10"/>
  <c r="P259" i="10"/>
  <c r="M259" i="10"/>
  <c r="G259" i="10"/>
  <c r="O258" i="10"/>
  <c r="N258" i="10"/>
  <c r="L258" i="10"/>
  <c r="K258" i="10"/>
  <c r="I258" i="10"/>
  <c r="H258" i="10"/>
  <c r="F258" i="10"/>
  <c r="E258" i="10"/>
  <c r="C258" i="10"/>
  <c r="R256" i="10"/>
  <c r="P256" i="10"/>
  <c r="M256" i="10"/>
  <c r="G256" i="10"/>
  <c r="R255" i="10"/>
  <c r="P255" i="10"/>
  <c r="P254" i="10" s="1"/>
  <c r="M255" i="10"/>
  <c r="G255" i="10"/>
  <c r="O254" i="10"/>
  <c r="N254" i="10"/>
  <c r="L254" i="10"/>
  <c r="K254" i="10"/>
  <c r="I254" i="10"/>
  <c r="H254" i="10"/>
  <c r="F254" i="10"/>
  <c r="E254" i="10"/>
  <c r="D254" i="10"/>
  <c r="C254" i="10"/>
  <c r="R253" i="10"/>
  <c r="R252" i="10" s="1"/>
  <c r="R637" i="10" s="1"/>
  <c r="P253" i="10"/>
  <c r="P252" i="10" s="1"/>
  <c r="M253" i="10"/>
  <c r="M252" i="10" s="1"/>
  <c r="G253" i="10"/>
  <c r="O252" i="10"/>
  <c r="O637" i="10" s="1"/>
  <c r="N252" i="10"/>
  <c r="N637" i="10" s="1"/>
  <c r="L252" i="10"/>
  <c r="L637" i="10" s="1"/>
  <c r="K252" i="10"/>
  <c r="K637" i="10" s="1"/>
  <c r="I252" i="10"/>
  <c r="I637" i="10" s="1"/>
  <c r="H252" i="10"/>
  <c r="H637" i="10" s="1"/>
  <c r="F252" i="10"/>
  <c r="F637" i="10" s="1"/>
  <c r="E252" i="10"/>
  <c r="E637" i="10" s="1"/>
  <c r="D252" i="10"/>
  <c r="D637" i="10" s="1"/>
  <c r="C252" i="10"/>
  <c r="C637" i="10" s="1"/>
  <c r="R251" i="10"/>
  <c r="P251" i="10"/>
  <c r="M251" i="10"/>
  <c r="G251" i="10"/>
  <c r="R250" i="10"/>
  <c r="P250" i="10"/>
  <c r="M250" i="10"/>
  <c r="G250" i="10"/>
  <c r="O249" i="10"/>
  <c r="N249" i="10"/>
  <c r="L249" i="10"/>
  <c r="K249" i="10"/>
  <c r="I249" i="10"/>
  <c r="H249" i="10"/>
  <c r="F249" i="10"/>
  <c r="E249" i="10"/>
  <c r="D249" i="10"/>
  <c r="C249" i="10"/>
  <c r="R248" i="10"/>
  <c r="P248" i="10"/>
  <c r="M248" i="10"/>
  <c r="D248" i="10"/>
  <c r="D635" i="10" s="1"/>
  <c r="R247" i="10"/>
  <c r="P247" i="10"/>
  <c r="M247" i="10"/>
  <c r="G247" i="10"/>
  <c r="Q247" i="10" s="1"/>
  <c r="R246" i="10"/>
  <c r="P246" i="10"/>
  <c r="M246" i="10"/>
  <c r="G246" i="10"/>
  <c r="R245" i="10"/>
  <c r="R244" i="10" s="1"/>
  <c r="P245" i="10"/>
  <c r="P244" i="10" s="1"/>
  <c r="M245" i="10"/>
  <c r="M244" i="10" s="1"/>
  <c r="G245" i="10"/>
  <c r="O244" i="10"/>
  <c r="O243" i="10" s="1"/>
  <c r="N244" i="10"/>
  <c r="N243" i="10" s="1"/>
  <c r="L244" i="10"/>
  <c r="K244" i="10"/>
  <c r="K243" i="10" s="1"/>
  <c r="I244" i="10"/>
  <c r="I243" i="10" s="1"/>
  <c r="H244" i="10"/>
  <c r="H243" i="10" s="1"/>
  <c r="F244" i="10"/>
  <c r="F243" i="10" s="1"/>
  <c r="E244" i="10"/>
  <c r="E243" i="10" s="1"/>
  <c r="D244" i="10"/>
  <c r="C244" i="10"/>
  <c r="C243" i="10" s="1"/>
  <c r="L243" i="10"/>
  <c r="R242" i="10"/>
  <c r="R241" i="10" s="1"/>
  <c r="P242" i="10"/>
  <c r="P241" i="10" s="1"/>
  <c r="M242" i="10"/>
  <c r="M241" i="10" s="1"/>
  <c r="G242" i="10"/>
  <c r="Q242" i="10" s="1"/>
  <c r="O241" i="10"/>
  <c r="N241" i="10"/>
  <c r="L241" i="10"/>
  <c r="K241" i="10"/>
  <c r="I241" i="10"/>
  <c r="H241" i="10"/>
  <c r="F241" i="10"/>
  <c r="E241" i="10"/>
  <c r="D241" i="10"/>
  <c r="C241" i="10"/>
  <c r="R239" i="10"/>
  <c r="R238" i="10" s="1"/>
  <c r="P239" i="10"/>
  <c r="P238" i="10" s="1"/>
  <c r="M239" i="10"/>
  <c r="M238" i="10" s="1"/>
  <c r="G239" i="10"/>
  <c r="O238" i="10"/>
  <c r="N238" i="10"/>
  <c r="L238" i="10"/>
  <c r="K238" i="10"/>
  <c r="I238" i="10"/>
  <c r="H238" i="10"/>
  <c r="F238" i="10"/>
  <c r="E238" i="10"/>
  <c r="D238" i="10"/>
  <c r="C238" i="10"/>
  <c r="R237" i="10"/>
  <c r="R236" i="10" s="1"/>
  <c r="P237" i="10"/>
  <c r="P236" i="10" s="1"/>
  <c r="M237" i="10"/>
  <c r="M236" i="10" s="1"/>
  <c r="M233" i="10" s="1"/>
  <c r="G237" i="10"/>
  <c r="Q237" i="10" s="1"/>
  <c r="O236" i="10"/>
  <c r="N236" i="10"/>
  <c r="L236" i="10"/>
  <c r="K236" i="10"/>
  <c r="I236" i="10"/>
  <c r="H236" i="10"/>
  <c r="F236" i="10"/>
  <c r="E236" i="10"/>
  <c r="D236" i="10"/>
  <c r="C236" i="10"/>
  <c r="R235" i="10"/>
  <c r="R234" i="10" s="1"/>
  <c r="P235" i="10"/>
  <c r="P234" i="10" s="1"/>
  <c r="M235" i="10"/>
  <c r="M234" i="10" s="1"/>
  <c r="G235" i="10"/>
  <c r="O234" i="10"/>
  <c r="N234" i="10"/>
  <c r="L234" i="10"/>
  <c r="K234" i="10"/>
  <c r="I234" i="10"/>
  <c r="H234" i="10"/>
  <c r="F234" i="10"/>
  <c r="E234" i="10"/>
  <c r="D234" i="10"/>
  <c r="D233" i="10" s="1"/>
  <c r="C234" i="10"/>
  <c r="R232" i="10"/>
  <c r="P232" i="10"/>
  <c r="M232" i="10"/>
  <c r="G232" i="10"/>
  <c r="R231" i="10"/>
  <c r="P231" i="10"/>
  <c r="M231" i="10"/>
  <c r="G231" i="10"/>
  <c r="Q231" i="10" s="1"/>
  <c r="R230" i="10"/>
  <c r="P230" i="10"/>
  <c r="M230" i="10"/>
  <c r="G230" i="10"/>
  <c r="Q230" i="10" s="1"/>
  <c r="O229" i="10"/>
  <c r="O227" i="10" s="1"/>
  <c r="N229" i="10"/>
  <c r="N227" i="10" s="1"/>
  <c r="L229" i="10"/>
  <c r="K229" i="10"/>
  <c r="K227" i="10" s="1"/>
  <c r="K636" i="10" s="1"/>
  <c r="I229" i="10"/>
  <c r="I227" i="10" s="1"/>
  <c r="H229" i="10"/>
  <c r="H227" i="10" s="1"/>
  <c r="F229" i="10"/>
  <c r="F227" i="10" s="1"/>
  <c r="F636" i="10" s="1"/>
  <c r="E229" i="10"/>
  <c r="E227" i="10" s="1"/>
  <c r="D229" i="10"/>
  <c r="D227" i="10" s="1"/>
  <c r="D636" i="10" s="1"/>
  <c r="C229" i="10"/>
  <c r="C227" i="10" s="1"/>
  <c r="C636" i="10" s="1"/>
  <c r="R228" i="10"/>
  <c r="P228" i="10"/>
  <c r="M228" i="10"/>
  <c r="G228" i="10"/>
  <c r="L227" i="10"/>
  <c r="L636" i="10" s="1"/>
  <c r="R226" i="10"/>
  <c r="R225" i="10" s="1"/>
  <c r="P226" i="10"/>
  <c r="P225" i="10" s="1"/>
  <c r="M226" i="10"/>
  <c r="M225" i="10" s="1"/>
  <c r="G226" i="10"/>
  <c r="Q226" i="10" s="1"/>
  <c r="O225" i="10"/>
  <c r="O641" i="10" s="1"/>
  <c r="N225" i="10"/>
  <c r="N641" i="10" s="1"/>
  <c r="L225" i="10"/>
  <c r="L641" i="10" s="1"/>
  <c r="K225" i="10"/>
  <c r="K641" i="10" s="1"/>
  <c r="I225" i="10"/>
  <c r="I641" i="10" s="1"/>
  <c r="H225" i="10"/>
  <c r="H641" i="10" s="1"/>
  <c r="F225" i="10"/>
  <c r="E225" i="10"/>
  <c r="E641" i="10" s="1"/>
  <c r="D225" i="10"/>
  <c r="C225" i="10"/>
  <c r="C641" i="10" s="1"/>
  <c r="R222" i="10"/>
  <c r="P222" i="10"/>
  <c r="M222" i="10"/>
  <c r="G222" i="10"/>
  <c r="R221" i="10"/>
  <c r="P221" i="10"/>
  <c r="M221" i="10"/>
  <c r="G221" i="10"/>
  <c r="Q221" i="10" s="1"/>
  <c r="O220" i="10"/>
  <c r="N220" i="10"/>
  <c r="N631" i="10" s="1"/>
  <c r="L220" i="10"/>
  <c r="K220" i="10"/>
  <c r="I220" i="10"/>
  <c r="H220" i="10"/>
  <c r="F220" i="10"/>
  <c r="E220" i="10"/>
  <c r="D220" i="10"/>
  <c r="C220" i="10"/>
  <c r="R219" i="10"/>
  <c r="P219" i="10"/>
  <c r="M219" i="10"/>
  <c r="G219" i="10"/>
  <c r="R218" i="10"/>
  <c r="R217" i="10" s="1"/>
  <c r="P218" i="10"/>
  <c r="P217" i="10" s="1"/>
  <c r="M218" i="10"/>
  <c r="M217" i="10" s="1"/>
  <c r="G218" i="10"/>
  <c r="Q218" i="10" s="1"/>
  <c r="O217" i="10"/>
  <c r="N217" i="10"/>
  <c r="L217" i="10"/>
  <c r="K217" i="10"/>
  <c r="I217" i="10"/>
  <c r="H217" i="10"/>
  <c r="F217" i="10"/>
  <c r="E217" i="10"/>
  <c r="D217" i="10"/>
  <c r="C217" i="10"/>
  <c r="R216" i="10"/>
  <c r="P216" i="10"/>
  <c r="M216" i="10"/>
  <c r="G216" i="10"/>
  <c r="Q216" i="10" s="1"/>
  <c r="R215" i="10"/>
  <c r="R214" i="10" s="1"/>
  <c r="P215" i="10"/>
  <c r="P214" i="10" s="1"/>
  <c r="M215" i="10"/>
  <c r="M214" i="10" s="1"/>
  <c r="G215" i="10"/>
  <c r="O214" i="10"/>
  <c r="N214" i="10"/>
  <c r="L214" i="10"/>
  <c r="K214" i="10"/>
  <c r="I214" i="10"/>
  <c r="H214" i="10"/>
  <c r="F214" i="10"/>
  <c r="E214" i="10"/>
  <c r="D214" i="10"/>
  <c r="D640" i="10" s="1"/>
  <c r="C214" i="10"/>
  <c r="R213" i="10"/>
  <c r="P213" i="10"/>
  <c r="M213" i="10"/>
  <c r="G213" i="10"/>
  <c r="R212" i="10"/>
  <c r="P212" i="10"/>
  <c r="M212" i="10"/>
  <c r="D212" i="10"/>
  <c r="R211" i="10"/>
  <c r="P211" i="10"/>
  <c r="M211" i="10"/>
  <c r="G211" i="10"/>
  <c r="R210" i="10"/>
  <c r="P210" i="10"/>
  <c r="M210" i="10"/>
  <c r="G210" i="10"/>
  <c r="O209" i="10"/>
  <c r="O639" i="10" s="1"/>
  <c r="N209" i="10"/>
  <c r="N639" i="10" s="1"/>
  <c r="L209" i="10"/>
  <c r="L639" i="10" s="1"/>
  <c r="K209" i="10"/>
  <c r="K639" i="10" s="1"/>
  <c r="I209" i="10"/>
  <c r="H209" i="10"/>
  <c r="H639" i="10" s="1"/>
  <c r="F209" i="10"/>
  <c r="F639" i="10" s="1"/>
  <c r="E209" i="10"/>
  <c r="E639" i="10" s="1"/>
  <c r="C209" i="10"/>
  <c r="R206" i="10"/>
  <c r="P206" i="10"/>
  <c r="M206" i="10"/>
  <c r="G206" i="10"/>
  <c r="R205" i="10"/>
  <c r="P205" i="10"/>
  <c r="M205" i="10"/>
  <c r="G205" i="10"/>
  <c r="R204" i="10"/>
  <c r="P204" i="10"/>
  <c r="M204" i="10"/>
  <c r="G204" i="10"/>
  <c r="R203" i="10"/>
  <c r="P203" i="10"/>
  <c r="M203" i="10"/>
  <c r="G203" i="10"/>
  <c r="O202" i="10"/>
  <c r="N202" i="10"/>
  <c r="L202" i="10"/>
  <c r="K202" i="10"/>
  <c r="I202" i="10"/>
  <c r="H202" i="10"/>
  <c r="F202" i="10"/>
  <c r="E202" i="10"/>
  <c r="D202" i="10"/>
  <c r="C202" i="10"/>
  <c r="R201" i="10"/>
  <c r="P201" i="10"/>
  <c r="M201" i="10"/>
  <c r="G201" i="10"/>
  <c r="R200" i="10"/>
  <c r="P200" i="10"/>
  <c r="M200" i="10"/>
  <c r="G200" i="10"/>
  <c r="O199" i="10"/>
  <c r="N199" i="10"/>
  <c r="L199" i="10"/>
  <c r="K199" i="10"/>
  <c r="I199" i="10"/>
  <c r="H199" i="10"/>
  <c r="F199" i="10"/>
  <c r="E199" i="10"/>
  <c r="D199" i="10"/>
  <c r="C199" i="10"/>
  <c r="R198" i="10"/>
  <c r="P198" i="10"/>
  <c r="M198" i="10"/>
  <c r="G198" i="10"/>
  <c r="R197" i="10"/>
  <c r="P197" i="10"/>
  <c r="M197" i="10"/>
  <c r="G197" i="10"/>
  <c r="R196" i="10"/>
  <c r="P196" i="10"/>
  <c r="M196" i="10"/>
  <c r="G196" i="10"/>
  <c r="R195" i="10"/>
  <c r="P195" i="10"/>
  <c r="M195" i="10"/>
  <c r="G195" i="10"/>
  <c r="Q195" i="10" s="1"/>
  <c r="O194" i="10"/>
  <c r="N194" i="10"/>
  <c r="L194" i="10"/>
  <c r="K194" i="10"/>
  <c r="I194" i="10"/>
  <c r="H194" i="10"/>
  <c r="F194" i="10"/>
  <c r="E194" i="10"/>
  <c r="D194" i="10"/>
  <c r="C194" i="10"/>
  <c r="R192" i="10"/>
  <c r="P192" i="10"/>
  <c r="M192" i="10"/>
  <c r="G192" i="10"/>
  <c r="R191" i="10"/>
  <c r="P191" i="10"/>
  <c r="M191" i="10"/>
  <c r="G191" i="10"/>
  <c r="Q191" i="10" s="1"/>
  <c r="R190" i="10"/>
  <c r="R189" i="10" s="1"/>
  <c r="R188" i="10" s="1"/>
  <c r="P190" i="10"/>
  <c r="M190" i="10"/>
  <c r="G190" i="10"/>
  <c r="O189" i="10"/>
  <c r="O188" i="10" s="1"/>
  <c r="N189" i="10"/>
  <c r="N188" i="10" s="1"/>
  <c r="L189" i="10"/>
  <c r="L188" i="10" s="1"/>
  <c r="K189" i="10"/>
  <c r="K188" i="10" s="1"/>
  <c r="I189" i="10"/>
  <c r="I188" i="10" s="1"/>
  <c r="H189" i="10"/>
  <c r="H188" i="10" s="1"/>
  <c r="F189" i="10"/>
  <c r="F188" i="10" s="1"/>
  <c r="E189" i="10"/>
  <c r="E188" i="10" s="1"/>
  <c r="D189" i="10"/>
  <c r="D188" i="10" s="1"/>
  <c r="C189" i="10"/>
  <c r="C188" i="10" s="1"/>
  <c r="R187" i="10"/>
  <c r="P187" i="10"/>
  <c r="M187" i="10"/>
  <c r="G187" i="10"/>
  <c r="Q187" i="10" s="1"/>
  <c r="R186" i="10"/>
  <c r="P186" i="10"/>
  <c r="M186" i="10"/>
  <c r="G186" i="10"/>
  <c r="R185" i="10"/>
  <c r="P185" i="10"/>
  <c r="M185" i="10"/>
  <c r="G185" i="10"/>
  <c r="Q185" i="10" s="1"/>
  <c r="R184" i="10"/>
  <c r="P184" i="10"/>
  <c r="M184" i="10"/>
  <c r="G184" i="10"/>
  <c r="O183" i="10"/>
  <c r="N183" i="10"/>
  <c r="L183" i="10"/>
  <c r="K183" i="10"/>
  <c r="I183" i="10"/>
  <c r="H183" i="10"/>
  <c r="F183" i="10"/>
  <c r="E183" i="10"/>
  <c r="D183" i="10"/>
  <c r="C183" i="10"/>
  <c r="R182" i="10"/>
  <c r="P182" i="10"/>
  <c r="M182" i="10"/>
  <c r="G182" i="10"/>
  <c r="R181" i="10"/>
  <c r="P181" i="10"/>
  <c r="M181" i="10"/>
  <c r="G181" i="10"/>
  <c r="R180" i="10"/>
  <c r="P180" i="10"/>
  <c r="M180" i="10"/>
  <c r="G180" i="10"/>
  <c r="R179" i="10"/>
  <c r="P179" i="10"/>
  <c r="M179" i="10"/>
  <c r="G179" i="10"/>
  <c r="O178" i="10"/>
  <c r="N178" i="10"/>
  <c r="L178" i="10"/>
  <c r="K178" i="10"/>
  <c r="I178" i="10"/>
  <c r="H178" i="10"/>
  <c r="F178" i="10"/>
  <c r="E178" i="10"/>
  <c r="D178" i="10"/>
  <c r="C178" i="10"/>
  <c r="R177" i="10"/>
  <c r="P177" i="10"/>
  <c r="M177" i="10"/>
  <c r="G177" i="10"/>
  <c r="Q177" i="10" s="1"/>
  <c r="R176" i="10"/>
  <c r="P176" i="10"/>
  <c r="M176" i="10"/>
  <c r="G176" i="10"/>
  <c r="R175" i="10"/>
  <c r="P175" i="10"/>
  <c r="M175" i="10"/>
  <c r="G175" i="10"/>
  <c r="R174" i="10"/>
  <c r="P174" i="10"/>
  <c r="M174" i="10"/>
  <c r="G174" i="10"/>
  <c r="R173" i="10"/>
  <c r="P173" i="10"/>
  <c r="M173" i="10"/>
  <c r="G173" i="10"/>
  <c r="O172" i="10"/>
  <c r="N172" i="10"/>
  <c r="L172" i="10"/>
  <c r="K172" i="10"/>
  <c r="I172" i="10"/>
  <c r="H172" i="10"/>
  <c r="F172" i="10"/>
  <c r="E172" i="10"/>
  <c r="D172" i="10"/>
  <c r="C172" i="10"/>
  <c r="R171" i="10"/>
  <c r="P171" i="10"/>
  <c r="M171" i="10"/>
  <c r="G171" i="10"/>
  <c r="R170" i="10"/>
  <c r="P170" i="10"/>
  <c r="M170" i="10"/>
  <c r="G170" i="10"/>
  <c r="Q170" i="10" s="1"/>
  <c r="R169" i="10"/>
  <c r="P169" i="10"/>
  <c r="M169" i="10"/>
  <c r="G169" i="10"/>
  <c r="Q169" i="10" s="1"/>
  <c r="R168" i="10"/>
  <c r="P168" i="10"/>
  <c r="M168" i="10"/>
  <c r="G168" i="10"/>
  <c r="R167" i="10"/>
  <c r="P167" i="10"/>
  <c r="M167" i="10"/>
  <c r="G167" i="10"/>
  <c r="O166" i="10"/>
  <c r="N166" i="10"/>
  <c r="L166" i="10"/>
  <c r="K166" i="10"/>
  <c r="I166" i="10"/>
  <c r="H166" i="10"/>
  <c r="F166" i="10"/>
  <c r="E166" i="10"/>
  <c r="D166" i="10"/>
  <c r="C166" i="10"/>
  <c r="R165" i="10"/>
  <c r="P165" i="10"/>
  <c r="M165" i="10"/>
  <c r="G165" i="10"/>
  <c r="R164" i="10"/>
  <c r="P164" i="10"/>
  <c r="M164" i="10"/>
  <c r="G164" i="10"/>
  <c r="R163" i="10"/>
  <c r="P163" i="10"/>
  <c r="M163" i="10"/>
  <c r="G163" i="10"/>
  <c r="O162" i="10"/>
  <c r="N162" i="10"/>
  <c r="L162" i="10"/>
  <c r="K162" i="10"/>
  <c r="I162" i="10"/>
  <c r="H162" i="10"/>
  <c r="F162" i="10"/>
  <c r="E162" i="10"/>
  <c r="D162" i="10"/>
  <c r="C162" i="10"/>
  <c r="R161" i="10"/>
  <c r="P161" i="10"/>
  <c r="M161" i="10"/>
  <c r="G161" i="10"/>
  <c r="R160" i="10"/>
  <c r="P160" i="10"/>
  <c r="M160" i="10"/>
  <c r="G160" i="10"/>
  <c r="R159" i="10"/>
  <c r="P159" i="10"/>
  <c r="M159" i="10"/>
  <c r="G159" i="10"/>
  <c r="R158" i="10"/>
  <c r="P158" i="10"/>
  <c r="M158" i="10"/>
  <c r="G158" i="10"/>
  <c r="R157" i="10"/>
  <c r="P157" i="10"/>
  <c r="M157" i="10"/>
  <c r="G157" i="10"/>
  <c r="R156" i="10"/>
  <c r="P156" i="10"/>
  <c r="M156" i="10"/>
  <c r="G156" i="10"/>
  <c r="O155" i="10"/>
  <c r="N155" i="10"/>
  <c r="L155" i="10"/>
  <c r="K155" i="10"/>
  <c r="I155" i="10"/>
  <c r="H155" i="10"/>
  <c r="F155" i="10"/>
  <c r="E155" i="10"/>
  <c r="D155" i="10"/>
  <c r="C155" i="10"/>
  <c r="R154" i="10"/>
  <c r="P154" i="10"/>
  <c r="M154" i="10"/>
  <c r="G154" i="10"/>
  <c r="Q154" i="10" s="1"/>
  <c r="R152" i="10"/>
  <c r="P152" i="10"/>
  <c r="M152" i="10"/>
  <c r="G152" i="10"/>
  <c r="R151" i="10"/>
  <c r="P151" i="10"/>
  <c r="M151" i="10"/>
  <c r="G151" i="10"/>
  <c r="R150" i="10"/>
  <c r="P150" i="10"/>
  <c r="M150" i="10"/>
  <c r="G150" i="10"/>
  <c r="Q150" i="10" s="1"/>
  <c r="R149" i="10"/>
  <c r="P149" i="10"/>
  <c r="M149" i="10"/>
  <c r="G149" i="10"/>
  <c r="R148" i="10"/>
  <c r="P148" i="10"/>
  <c r="M148" i="10"/>
  <c r="G148" i="10"/>
  <c r="O147" i="10"/>
  <c r="N147" i="10"/>
  <c r="L147" i="10"/>
  <c r="K147" i="10"/>
  <c r="I147" i="10"/>
  <c r="H147" i="10"/>
  <c r="F147" i="10"/>
  <c r="E147" i="10"/>
  <c r="D147" i="10"/>
  <c r="C147" i="10"/>
  <c r="R146" i="10"/>
  <c r="P146" i="10"/>
  <c r="M146" i="10"/>
  <c r="G146" i="10"/>
  <c r="R145" i="10"/>
  <c r="P145" i="10"/>
  <c r="M145" i="10"/>
  <c r="G145" i="10"/>
  <c r="Q145" i="10" s="1"/>
  <c r="R144" i="10"/>
  <c r="P144" i="10"/>
  <c r="M144" i="10"/>
  <c r="G144" i="10"/>
  <c r="R143" i="10"/>
  <c r="P143" i="10"/>
  <c r="M143" i="10"/>
  <c r="G143" i="10"/>
  <c r="O142" i="10"/>
  <c r="N142" i="10"/>
  <c r="L142" i="10"/>
  <c r="K142" i="10"/>
  <c r="I142" i="10"/>
  <c r="H142" i="10"/>
  <c r="F142" i="10"/>
  <c r="E142" i="10"/>
  <c r="D142" i="10"/>
  <c r="C142" i="10"/>
  <c r="R141" i="10"/>
  <c r="R140" i="10" s="1"/>
  <c r="P141" i="10"/>
  <c r="P140" i="10" s="1"/>
  <c r="M141" i="10"/>
  <c r="M140" i="10" s="1"/>
  <c r="G141" i="10"/>
  <c r="O140" i="10"/>
  <c r="N140" i="10"/>
  <c r="L140" i="10"/>
  <c r="K140" i="10"/>
  <c r="I140" i="10"/>
  <c r="H140" i="10"/>
  <c r="F140" i="10"/>
  <c r="E140" i="10"/>
  <c r="D140" i="10"/>
  <c r="C140" i="10"/>
  <c r="R138" i="10"/>
  <c r="P138" i="10"/>
  <c r="M138" i="10"/>
  <c r="G138" i="10"/>
  <c r="R137" i="10"/>
  <c r="R136" i="10" s="1"/>
  <c r="P137" i="10"/>
  <c r="P136" i="10" s="1"/>
  <c r="M137" i="10"/>
  <c r="M136" i="10" s="1"/>
  <c r="G137" i="10"/>
  <c r="Q137" i="10" s="1"/>
  <c r="O136" i="10"/>
  <c r="O133" i="10" s="1"/>
  <c r="N136" i="10"/>
  <c r="N133" i="10" s="1"/>
  <c r="L136" i="10"/>
  <c r="L133" i="10" s="1"/>
  <c r="K136" i="10"/>
  <c r="I136" i="10"/>
  <c r="I133" i="10" s="1"/>
  <c r="H136" i="10"/>
  <c r="H133" i="10" s="1"/>
  <c r="F136" i="10"/>
  <c r="F133" i="10" s="1"/>
  <c r="E136" i="10"/>
  <c r="E133" i="10" s="1"/>
  <c r="D136" i="10"/>
  <c r="D133" i="10" s="1"/>
  <c r="C136" i="10"/>
  <c r="C133" i="10" s="1"/>
  <c r="R135" i="10"/>
  <c r="P135" i="10"/>
  <c r="M135" i="10"/>
  <c r="G135" i="10"/>
  <c r="Q135" i="10" s="1"/>
  <c r="R134" i="10"/>
  <c r="P134" i="10"/>
  <c r="M134" i="10"/>
  <c r="G134" i="10"/>
  <c r="K133" i="10"/>
  <c r="R132" i="10"/>
  <c r="R131" i="10" s="1"/>
  <c r="P132" i="10"/>
  <c r="P131" i="10" s="1"/>
  <c r="M132" i="10"/>
  <c r="M131" i="10" s="1"/>
  <c r="G132" i="10"/>
  <c r="O131" i="10"/>
  <c r="N131" i="10"/>
  <c r="L131" i="10"/>
  <c r="K131" i="10"/>
  <c r="I131" i="10"/>
  <c r="H131" i="10"/>
  <c r="F131" i="10"/>
  <c r="E131" i="10"/>
  <c r="D131" i="10"/>
  <c r="C131" i="10"/>
  <c r="R130" i="10"/>
  <c r="P130" i="10"/>
  <c r="M130" i="10"/>
  <c r="G130" i="10"/>
  <c r="Q130" i="10" s="1"/>
  <c r="R129" i="10"/>
  <c r="P129" i="10"/>
  <c r="M129" i="10"/>
  <c r="G129" i="10"/>
  <c r="Q129" i="10" s="1"/>
  <c r="R128" i="10"/>
  <c r="P128" i="10"/>
  <c r="M128" i="10"/>
  <c r="G128" i="10"/>
  <c r="R127" i="10"/>
  <c r="P127" i="10"/>
  <c r="M127" i="10"/>
  <c r="G127" i="10"/>
  <c r="Q127" i="10" s="1"/>
  <c r="R126" i="10"/>
  <c r="P126" i="10"/>
  <c r="M126" i="10"/>
  <c r="G126" i="10"/>
  <c r="R125" i="10"/>
  <c r="P125" i="10"/>
  <c r="M125" i="10"/>
  <c r="G125" i="10"/>
  <c r="O124" i="10"/>
  <c r="O123" i="10" s="1"/>
  <c r="N124" i="10"/>
  <c r="N123" i="10" s="1"/>
  <c r="L124" i="10"/>
  <c r="K124" i="10"/>
  <c r="K123" i="10" s="1"/>
  <c r="I124" i="10"/>
  <c r="I123" i="10" s="1"/>
  <c r="H124" i="10"/>
  <c r="H123" i="10" s="1"/>
  <c r="F124" i="10"/>
  <c r="F123" i="10" s="1"/>
  <c r="E124" i="10"/>
  <c r="E123" i="10" s="1"/>
  <c r="D124" i="10"/>
  <c r="D123" i="10" s="1"/>
  <c r="C124" i="10"/>
  <c r="C123" i="10" s="1"/>
  <c r="L123" i="10"/>
  <c r="R122" i="10"/>
  <c r="P122" i="10"/>
  <c r="M122" i="10"/>
  <c r="G122" i="10"/>
  <c r="R121" i="10"/>
  <c r="P121" i="10"/>
  <c r="M121" i="10"/>
  <c r="G121" i="10"/>
  <c r="Q121" i="10" s="1"/>
  <c r="R120" i="10"/>
  <c r="P120" i="10"/>
  <c r="M120" i="10"/>
  <c r="G120" i="10"/>
  <c r="Q120" i="10" s="1"/>
  <c r="O119" i="10"/>
  <c r="N119" i="10"/>
  <c r="L119" i="10"/>
  <c r="K119" i="10"/>
  <c r="I119" i="10"/>
  <c r="H119" i="10"/>
  <c r="F119" i="10"/>
  <c r="E119" i="10"/>
  <c r="D119" i="10"/>
  <c r="C119" i="10"/>
  <c r="R115" i="10"/>
  <c r="R114" i="10" s="1"/>
  <c r="R113" i="10" s="1"/>
  <c r="P115" i="10"/>
  <c r="M115" i="10"/>
  <c r="M114" i="10" s="1"/>
  <c r="M113" i="10" s="1"/>
  <c r="E115" i="10"/>
  <c r="G115" i="10" s="1"/>
  <c r="P114" i="10"/>
  <c r="P113" i="10" s="1"/>
  <c r="O114" i="10"/>
  <c r="O113" i="10" s="1"/>
  <c r="O111" i="10" s="1"/>
  <c r="O110" i="10" s="1"/>
  <c r="N114" i="10"/>
  <c r="N113" i="10" s="1"/>
  <c r="N111" i="10" s="1"/>
  <c r="N110" i="10" s="1"/>
  <c r="L114" i="10"/>
  <c r="L113" i="10" s="1"/>
  <c r="L111" i="10" s="1"/>
  <c r="L110" i="10" s="1"/>
  <c r="K114" i="10"/>
  <c r="K113" i="10" s="1"/>
  <c r="K111" i="10" s="1"/>
  <c r="K110" i="10" s="1"/>
  <c r="I114" i="10"/>
  <c r="I113" i="10" s="1"/>
  <c r="I111" i="10" s="1"/>
  <c r="I110" i="10" s="1"/>
  <c r="H114" i="10"/>
  <c r="H113" i="10" s="1"/>
  <c r="H111" i="10" s="1"/>
  <c r="H110" i="10" s="1"/>
  <c r="F114" i="10"/>
  <c r="F113" i="10" s="1"/>
  <c r="F111" i="10" s="1"/>
  <c r="F110" i="10" s="1"/>
  <c r="D114" i="10"/>
  <c r="D113" i="10" s="1"/>
  <c r="D111" i="10" s="1"/>
  <c r="D110" i="10" s="1"/>
  <c r="C114" i="10"/>
  <c r="C113" i="10" s="1"/>
  <c r="C111" i="10" s="1"/>
  <c r="C110" i="10" s="1"/>
  <c r="R112" i="10"/>
  <c r="P112" i="10"/>
  <c r="M112" i="10"/>
  <c r="G112" i="10"/>
  <c r="R109" i="10"/>
  <c r="R108" i="10" s="1"/>
  <c r="P109" i="10"/>
  <c r="P108" i="10" s="1"/>
  <c r="M109" i="10"/>
  <c r="M108" i="10" s="1"/>
  <c r="G109" i="10"/>
  <c r="Q109" i="10" s="1"/>
  <c r="O108" i="10"/>
  <c r="N108" i="10"/>
  <c r="L108" i="10"/>
  <c r="K108" i="10"/>
  <c r="I108" i="10"/>
  <c r="H108" i="10"/>
  <c r="F108" i="10"/>
  <c r="E108" i="10"/>
  <c r="D108" i="10"/>
  <c r="C108" i="10"/>
  <c r="R107" i="10"/>
  <c r="P107" i="10"/>
  <c r="M107" i="10"/>
  <c r="G107" i="10"/>
  <c r="Q107" i="10" s="1"/>
  <c r="R106" i="10"/>
  <c r="P106" i="10"/>
  <c r="M106" i="10"/>
  <c r="G106" i="10"/>
  <c r="R105" i="10"/>
  <c r="P105" i="10"/>
  <c r="M105" i="10"/>
  <c r="G105" i="10"/>
  <c r="O104" i="10"/>
  <c r="N104" i="10"/>
  <c r="L104" i="10"/>
  <c r="K104" i="10"/>
  <c r="I104" i="10"/>
  <c r="H104" i="10"/>
  <c r="F104" i="10"/>
  <c r="E104" i="10"/>
  <c r="D104" i="10"/>
  <c r="C104" i="10"/>
  <c r="R103" i="10"/>
  <c r="R102" i="10" s="1"/>
  <c r="P103" i="10"/>
  <c r="P102" i="10" s="1"/>
  <c r="M103" i="10"/>
  <c r="M102" i="10" s="1"/>
  <c r="G103" i="10"/>
  <c r="Q103" i="10" s="1"/>
  <c r="O102" i="10"/>
  <c r="N102" i="10"/>
  <c r="L102" i="10"/>
  <c r="K102" i="10"/>
  <c r="I102" i="10"/>
  <c r="H102" i="10"/>
  <c r="F102" i="10"/>
  <c r="E102" i="10"/>
  <c r="D102" i="10"/>
  <c r="C102" i="10"/>
  <c r="R101" i="10"/>
  <c r="P101" i="10"/>
  <c r="M101" i="10"/>
  <c r="G101" i="10"/>
  <c r="Q101" i="10" s="1"/>
  <c r="R100" i="10"/>
  <c r="P100" i="10"/>
  <c r="M100" i="10"/>
  <c r="G100" i="10"/>
  <c r="R99" i="10"/>
  <c r="P99" i="10"/>
  <c r="M99" i="10"/>
  <c r="G99" i="10"/>
  <c r="R98" i="10"/>
  <c r="P98" i="10"/>
  <c r="M98" i="10"/>
  <c r="G98" i="10"/>
  <c r="O97" i="10"/>
  <c r="N97" i="10"/>
  <c r="L97" i="10"/>
  <c r="K97" i="10"/>
  <c r="I97" i="10"/>
  <c r="H97" i="10"/>
  <c r="F97" i="10"/>
  <c r="E97" i="10"/>
  <c r="D97" i="10"/>
  <c r="C97" i="10"/>
  <c r="R96" i="10"/>
  <c r="P96" i="10"/>
  <c r="M96" i="10"/>
  <c r="G96" i="10"/>
  <c r="R95" i="10"/>
  <c r="R94" i="10" s="1"/>
  <c r="P95" i="10"/>
  <c r="M95" i="10"/>
  <c r="G95" i="10"/>
  <c r="O94" i="10"/>
  <c r="N94" i="10"/>
  <c r="L94" i="10"/>
  <c r="K94" i="10"/>
  <c r="I94" i="10"/>
  <c r="H94" i="10"/>
  <c r="F94" i="10"/>
  <c r="E94" i="10"/>
  <c r="D94" i="10"/>
  <c r="C94" i="10"/>
  <c r="R93" i="10"/>
  <c r="P93" i="10"/>
  <c r="M93" i="10"/>
  <c r="G93" i="10"/>
  <c r="R92" i="10"/>
  <c r="P92" i="10"/>
  <c r="M92" i="10"/>
  <c r="G92" i="10"/>
  <c r="Q92" i="10" s="1"/>
  <c r="R91" i="10"/>
  <c r="P91" i="10"/>
  <c r="M91" i="10"/>
  <c r="G91" i="10"/>
  <c r="Q91" i="10" s="1"/>
  <c r="O90" i="10"/>
  <c r="N90" i="10"/>
  <c r="L90" i="10"/>
  <c r="K90" i="10"/>
  <c r="I90" i="10"/>
  <c r="H90" i="10"/>
  <c r="F90" i="10"/>
  <c r="E90" i="10"/>
  <c r="D90" i="10"/>
  <c r="C90" i="10"/>
  <c r="R89" i="10"/>
  <c r="P89" i="10"/>
  <c r="M89" i="10"/>
  <c r="G89" i="10"/>
  <c r="R88" i="10"/>
  <c r="P88" i="10"/>
  <c r="M88" i="10"/>
  <c r="G88" i="10"/>
  <c r="O87" i="10"/>
  <c r="N87" i="10"/>
  <c r="L87" i="10"/>
  <c r="K87" i="10"/>
  <c r="I87" i="10"/>
  <c r="H87" i="10"/>
  <c r="F87" i="10"/>
  <c r="E87" i="10"/>
  <c r="D87" i="10"/>
  <c r="C87" i="10"/>
  <c r="R85" i="10"/>
  <c r="P85" i="10"/>
  <c r="M85" i="10"/>
  <c r="G85" i="10"/>
  <c r="R84" i="10"/>
  <c r="P84" i="10"/>
  <c r="M84" i="10"/>
  <c r="G84" i="10"/>
  <c r="Q84" i="10" s="1"/>
  <c r="R83" i="10"/>
  <c r="P83" i="10"/>
  <c r="M83" i="10"/>
  <c r="G83" i="10"/>
  <c r="R82" i="10"/>
  <c r="P82" i="10"/>
  <c r="M82" i="10"/>
  <c r="G82" i="10"/>
  <c r="R81" i="10"/>
  <c r="P81" i="10"/>
  <c r="M81" i="10"/>
  <c r="G81" i="10"/>
  <c r="Q81" i="10" s="1"/>
  <c r="O80" i="10"/>
  <c r="O79" i="10" s="1"/>
  <c r="O78" i="10" s="1"/>
  <c r="N80" i="10"/>
  <c r="N79" i="10" s="1"/>
  <c r="N78" i="10" s="1"/>
  <c r="L80" i="10"/>
  <c r="L79" i="10" s="1"/>
  <c r="L78" i="10" s="1"/>
  <c r="K80" i="10"/>
  <c r="K79" i="10" s="1"/>
  <c r="K78" i="10" s="1"/>
  <c r="I80" i="10"/>
  <c r="I79" i="10" s="1"/>
  <c r="I78" i="10" s="1"/>
  <c r="H80" i="10"/>
  <c r="H79" i="10" s="1"/>
  <c r="H78" i="10" s="1"/>
  <c r="F80" i="10"/>
  <c r="F79" i="10" s="1"/>
  <c r="F78" i="10" s="1"/>
  <c r="E80" i="10"/>
  <c r="E79" i="10" s="1"/>
  <c r="E78" i="10" s="1"/>
  <c r="D80" i="10"/>
  <c r="D79" i="10" s="1"/>
  <c r="D78" i="10" s="1"/>
  <c r="C80" i="10"/>
  <c r="C79" i="10" s="1"/>
  <c r="C78" i="10" s="1"/>
  <c r="R74" i="10"/>
  <c r="P74" i="10"/>
  <c r="M74" i="10"/>
  <c r="G74" i="10"/>
  <c r="R73" i="10"/>
  <c r="P73" i="10"/>
  <c r="M73" i="10"/>
  <c r="G73" i="10"/>
  <c r="O72" i="10"/>
  <c r="O71" i="10" s="1"/>
  <c r="N72" i="10"/>
  <c r="N71" i="10" s="1"/>
  <c r="L72" i="10"/>
  <c r="L71" i="10" s="1"/>
  <c r="K72" i="10"/>
  <c r="K71" i="10" s="1"/>
  <c r="I72" i="10"/>
  <c r="I71" i="10" s="1"/>
  <c r="H72" i="10"/>
  <c r="H71" i="10" s="1"/>
  <c r="F72" i="10"/>
  <c r="F71" i="10" s="1"/>
  <c r="E72" i="10"/>
  <c r="E71" i="10" s="1"/>
  <c r="D72" i="10"/>
  <c r="D71" i="10" s="1"/>
  <c r="C72" i="10"/>
  <c r="C71" i="10" s="1"/>
  <c r="R70" i="10"/>
  <c r="R69" i="10" s="1"/>
  <c r="P70" i="10"/>
  <c r="P69" i="10" s="1"/>
  <c r="M70" i="10"/>
  <c r="M69" i="10" s="1"/>
  <c r="G70" i="10"/>
  <c r="O69" i="10"/>
  <c r="N69" i="10"/>
  <c r="L69" i="10"/>
  <c r="K69" i="10"/>
  <c r="I69" i="10"/>
  <c r="H69" i="10"/>
  <c r="F69" i="10"/>
  <c r="E69" i="10"/>
  <c r="D69" i="10"/>
  <c r="C69" i="10"/>
  <c r="R68" i="10"/>
  <c r="R67" i="10" s="1"/>
  <c r="P68" i="10"/>
  <c r="P67" i="10" s="1"/>
  <c r="M68" i="10"/>
  <c r="M67" i="10" s="1"/>
  <c r="G68" i="10"/>
  <c r="O67" i="10"/>
  <c r="N67" i="10"/>
  <c r="L67" i="10"/>
  <c r="K67" i="10"/>
  <c r="I67" i="10"/>
  <c r="H67" i="10"/>
  <c r="F67" i="10"/>
  <c r="E67" i="10"/>
  <c r="D67" i="10"/>
  <c r="C67" i="10"/>
  <c r="R66" i="10"/>
  <c r="R65" i="10" s="1"/>
  <c r="P66" i="10"/>
  <c r="P65" i="10" s="1"/>
  <c r="M66" i="10"/>
  <c r="M65" i="10" s="1"/>
  <c r="G66" i="10"/>
  <c r="Q66" i="10" s="1"/>
  <c r="O65" i="10"/>
  <c r="N65" i="10"/>
  <c r="L65" i="10"/>
  <c r="K65" i="10"/>
  <c r="I65" i="10"/>
  <c r="H65" i="10"/>
  <c r="F65" i="10"/>
  <c r="E65" i="10"/>
  <c r="D65" i="10"/>
  <c r="C65" i="10"/>
  <c r="R64" i="10"/>
  <c r="R63" i="10" s="1"/>
  <c r="P64" i="10"/>
  <c r="M64" i="10"/>
  <c r="M63" i="10" s="1"/>
  <c r="G64" i="10"/>
  <c r="Q64" i="10" s="1"/>
  <c r="P63" i="10"/>
  <c r="O63" i="10"/>
  <c r="N63" i="10"/>
  <c r="L63" i="10"/>
  <c r="K63" i="10"/>
  <c r="I63" i="10"/>
  <c r="H63" i="10"/>
  <c r="F63" i="10"/>
  <c r="E63" i="10"/>
  <c r="D63" i="10"/>
  <c r="C63" i="10"/>
  <c r="R62" i="10"/>
  <c r="R61" i="10" s="1"/>
  <c r="P62" i="10"/>
  <c r="P61" i="10" s="1"/>
  <c r="M62" i="10"/>
  <c r="M61" i="10" s="1"/>
  <c r="G62" i="10"/>
  <c r="Q62" i="10" s="1"/>
  <c r="O61" i="10"/>
  <c r="N61" i="10"/>
  <c r="L61" i="10"/>
  <c r="K61" i="10"/>
  <c r="I61" i="10"/>
  <c r="H61" i="10"/>
  <c r="F61" i="10"/>
  <c r="E61" i="10"/>
  <c r="D61" i="10"/>
  <c r="C61" i="10"/>
  <c r="R60" i="10"/>
  <c r="R59" i="10" s="1"/>
  <c r="P60" i="10"/>
  <c r="P59" i="10" s="1"/>
  <c r="M60" i="10"/>
  <c r="M59" i="10" s="1"/>
  <c r="G60" i="10"/>
  <c r="Q60" i="10" s="1"/>
  <c r="O59" i="10"/>
  <c r="N59" i="10"/>
  <c r="L59" i="10"/>
  <c r="K59" i="10"/>
  <c r="I59" i="10"/>
  <c r="H59" i="10"/>
  <c r="F59" i="10"/>
  <c r="E59" i="10"/>
  <c r="D59" i="10"/>
  <c r="C59" i="10"/>
  <c r="R57" i="10"/>
  <c r="P57" i="10"/>
  <c r="M57" i="10"/>
  <c r="G57" i="10"/>
  <c r="Q57" i="10" s="1"/>
  <c r="R56" i="10"/>
  <c r="P56" i="10"/>
  <c r="M56" i="10"/>
  <c r="G56" i="10"/>
  <c r="R55" i="10"/>
  <c r="P55" i="10"/>
  <c r="M55" i="10"/>
  <c r="G55" i="10"/>
  <c r="R54" i="10"/>
  <c r="P54" i="10"/>
  <c r="M54" i="10"/>
  <c r="G54" i="10"/>
  <c r="R53" i="10"/>
  <c r="P53" i="10"/>
  <c r="M53" i="10"/>
  <c r="G53" i="10"/>
  <c r="Q53" i="10" s="1"/>
  <c r="R52" i="10"/>
  <c r="P52" i="10"/>
  <c r="M52" i="10"/>
  <c r="G52" i="10"/>
  <c r="R51" i="10"/>
  <c r="P51" i="10"/>
  <c r="M51" i="10"/>
  <c r="G51" i="10"/>
  <c r="R50" i="10"/>
  <c r="P50" i="10"/>
  <c r="M50" i="10"/>
  <c r="G50" i="10"/>
  <c r="R49" i="10"/>
  <c r="P49" i="10"/>
  <c r="M49" i="10"/>
  <c r="G49" i="10"/>
  <c r="Q49" i="10" s="1"/>
  <c r="O48" i="10"/>
  <c r="O47" i="10" s="1"/>
  <c r="N48" i="10"/>
  <c r="N47" i="10" s="1"/>
  <c r="L48" i="10"/>
  <c r="L47" i="10" s="1"/>
  <c r="K48" i="10"/>
  <c r="K47" i="10" s="1"/>
  <c r="I48" i="10"/>
  <c r="I47" i="10" s="1"/>
  <c r="H48" i="10"/>
  <c r="H47" i="10" s="1"/>
  <c r="F48" i="10"/>
  <c r="F47" i="10" s="1"/>
  <c r="E48" i="10"/>
  <c r="E47" i="10" s="1"/>
  <c r="D48" i="10"/>
  <c r="D47" i="10" s="1"/>
  <c r="C48" i="10"/>
  <c r="C47" i="10" s="1"/>
  <c r="AQ45" i="10"/>
  <c r="R45" i="10"/>
  <c r="P45" i="10"/>
  <c r="M45" i="10"/>
  <c r="G45" i="10"/>
  <c r="Q45" i="10" s="1"/>
  <c r="AQ44" i="10"/>
  <c r="R44" i="10"/>
  <c r="P44" i="10"/>
  <c r="M44" i="10"/>
  <c r="G44" i="10"/>
  <c r="AQ43" i="10"/>
  <c r="R43" i="10"/>
  <c r="P43" i="10"/>
  <c r="M43" i="10"/>
  <c r="G43" i="10"/>
  <c r="AQ42" i="10"/>
  <c r="R42" i="10"/>
  <c r="P42" i="10"/>
  <c r="M42" i="10"/>
  <c r="G42" i="10"/>
  <c r="AQ41" i="10"/>
  <c r="R41" i="10"/>
  <c r="P41" i="10"/>
  <c r="M41" i="10"/>
  <c r="G41" i="10"/>
  <c r="Q41" i="10" s="1"/>
  <c r="AQ40" i="10"/>
  <c r="R40" i="10"/>
  <c r="P40" i="10"/>
  <c r="M40" i="10"/>
  <c r="G40" i="10"/>
  <c r="AQ39" i="10"/>
  <c r="R39" i="10"/>
  <c r="P39" i="10"/>
  <c r="M39" i="10"/>
  <c r="G39" i="10"/>
  <c r="Q39" i="10" s="1"/>
  <c r="O38" i="10"/>
  <c r="O37" i="10" s="1"/>
  <c r="N38" i="10"/>
  <c r="AQ38" i="10" s="1"/>
  <c r="L38" i="10"/>
  <c r="L37" i="10" s="1"/>
  <c r="K38" i="10"/>
  <c r="K37" i="10" s="1"/>
  <c r="I38" i="10"/>
  <c r="I37" i="10" s="1"/>
  <c r="H38" i="10"/>
  <c r="H37" i="10" s="1"/>
  <c r="F38" i="10"/>
  <c r="F37" i="10" s="1"/>
  <c r="E38" i="10"/>
  <c r="E37" i="10" s="1"/>
  <c r="D38" i="10"/>
  <c r="D37" i="10" s="1"/>
  <c r="C38" i="10"/>
  <c r="C37" i="10" s="1"/>
  <c r="AQ36" i="10"/>
  <c r="R36" i="10"/>
  <c r="R35" i="10" s="1"/>
  <c r="P36" i="10"/>
  <c r="P35" i="10" s="1"/>
  <c r="M36" i="10"/>
  <c r="M35" i="10" s="1"/>
  <c r="G36" i="10"/>
  <c r="Q36" i="10" s="1"/>
  <c r="O35" i="10"/>
  <c r="N35" i="10"/>
  <c r="AQ35" i="10" s="1"/>
  <c r="L35" i="10"/>
  <c r="K35" i="10"/>
  <c r="I35" i="10"/>
  <c r="H35" i="10"/>
  <c r="F35" i="10"/>
  <c r="E35" i="10"/>
  <c r="D35" i="10"/>
  <c r="C35" i="10"/>
  <c r="AQ34" i="10"/>
  <c r="R34" i="10"/>
  <c r="R33" i="10" s="1"/>
  <c r="P34" i="10"/>
  <c r="P33" i="10" s="1"/>
  <c r="M34" i="10"/>
  <c r="M33" i="10" s="1"/>
  <c r="G34" i="10"/>
  <c r="O33" i="10"/>
  <c r="N33" i="10"/>
  <c r="AQ33" i="10" s="1"/>
  <c r="L33" i="10"/>
  <c r="K33" i="10"/>
  <c r="I33" i="10"/>
  <c r="H33" i="10"/>
  <c r="F33" i="10"/>
  <c r="E33" i="10"/>
  <c r="D33" i="10"/>
  <c r="C33" i="10"/>
  <c r="AQ32" i="10"/>
  <c r="R32" i="10"/>
  <c r="R31" i="10" s="1"/>
  <c r="P32" i="10"/>
  <c r="P31" i="10" s="1"/>
  <c r="M32" i="10"/>
  <c r="M31" i="10" s="1"/>
  <c r="G32" i="10"/>
  <c r="O31" i="10"/>
  <c r="N31" i="10"/>
  <c r="AQ31" i="10" s="1"/>
  <c r="L31" i="10"/>
  <c r="K31" i="10"/>
  <c r="I31" i="10"/>
  <c r="H31" i="10"/>
  <c r="F31" i="10"/>
  <c r="E31" i="10"/>
  <c r="D31" i="10"/>
  <c r="C31" i="10"/>
  <c r="AQ30" i="10"/>
  <c r="R30" i="10"/>
  <c r="R29" i="10" s="1"/>
  <c r="P30" i="10"/>
  <c r="M30" i="10"/>
  <c r="M29" i="10" s="1"/>
  <c r="G30" i="10"/>
  <c r="Q30" i="10" s="1"/>
  <c r="P29" i="10"/>
  <c r="O29" i="10"/>
  <c r="N29" i="10"/>
  <c r="AQ29" i="10" s="1"/>
  <c r="L29" i="10"/>
  <c r="K29" i="10"/>
  <c r="I29" i="10"/>
  <c r="H29" i="10"/>
  <c r="F29" i="10"/>
  <c r="E29" i="10"/>
  <c r="D29" i="10"/>
  <c r="C29" i="10"/>
  <c r="AQ28" i="10"/>
  <c r="R28" i="10"/>
  <c r="P28" i="10"/>
  <c r="P27" i="10" s="1"/>
  <c r="M28" i="10"/>
  <c r="M27" i="10" s="1"/>
  <c r="G28" i="10"/>
  <c r="Q28" i="10" s="1"/>
  <c r="R27" i="10"/>
  <c r="O27" i="10"/>
  <c r="N27" i="10"/>
  <c r="AQ27" i="10" s="1"/>
  <c r="L27" i="10"/>
  <c r="K27" i="10"/>
  <c r="I27" i="10"/>
  <c r="H27" i="10"/>
  <c r="F27" i="10"/>
  <c r="E27" i="10"/>
  <c r="D27" i="10"/>
  <c r="C27" i="10"/>
  <c r="AQ26" i="10"/>
  <c r="R26" i="10"/>
  <c r="R25" i="10" s="1"/>
  <c r="P26" i="10"/>
  <c r="P25" i="10" s="1"/>
  <c r="M26" i="10"/>
  <c r="M25" i="10" s="1"/>
  <c r="G26" i="10"/>
  <c r="Q26" i="10" s="1"/>
  <c r="O25" i="10"/>
  <c r="N25" i="10"/>
  <c r="L25" i="10"/>
  <c r="K25" i="10"/>
  <c r="I25" i="10"/>
  <c r="H25" i="10"/>
  <c r="F25" i="10"/>
  <c r="E25" i="10"/>
  <c r="D25" i="10"/>
  <c r="C25" i="10"/>
  <c r="AQ23" i="10"/>
  <c r="R23" i="10"/>
  <c r="R22" i="10" s="1"/>
  <c r="P23" i="10"/>
  <c r="P22" i="10" s="1"/>
  <c r="M23" i="10"/>
  <c r="M22" i="10" s="1"/>
  <c r="G23" i="10"/>
  <c r="Q23" i="10" s="1"/>
  <c r="O22" i="10"/>
  <c r="N22" i="10"/>
  <c r="AQ22" i="10" s="1"/>
  <c r="L22" i="10"/>
  <c r="K22" i="10"/>
  <c r="I22" i="10"/>
  <c r="H22" i="10"/>
  <c r="F22" i="10"/>
  <c r="E22" i="10"/>
  <c r="D22" i="10"/>
  <c r="C22" i="10"/>
  <c r="R21" i="10"/>
  <c r="P21" i="10"/>
  <c r="M21" i="10"/>
  <c r="G21" i="10"/>
  <c r="Q21" i="10" s="1"/>
  <c r="R20" i="10"/>
  <c r="P20" i="10"/>
  <c r="M20" i="10"/>
  <c r="G20" i="10"/>
  <c r="Q20" i="10" s="1"/>
  <c r="AQ19" i="10"/>
  <c r="R19" i="10"/>
  <c r="P19" i="10"/>
  <c r="M19" i="10"/>
  <c r="G19" i="10"/>
  <c r="Q19" i="10" s="1"/>
  <c r="AQ18" i="10"/>
  <c r="R18" i="10"/>
  <c r="P18" i="10"/>
  <c r="M18" i="10"/>
  <c r="G18" i="10"/>
  <c r="Q18" i="10" s="1"/>
  <c r="R17" i="10"/>
  <c r="P17" i="10"/>
  <c r="M17" i="10"/>
  <c r="G17" i="10"/>
  <c r="Q17" i="10" s="1"/>
  <c r="AQ16" i="10"/>
  <c r="R16" i="10"/>
  <c r="P16" i="10"/>
  <c r="M16" i="10"/>
  <c r="G16" i="10"/>
  <c r="Q16" i="10" s="1"/>
  <c r="AQ15" i="10"/>
  <c r="R15" i="10"/>
  <c r="P15" i="10"/>
  <c r="M15" i="10"/>
  <c r="G15" i="10"/>
  <c r="Q15" i="10" s="1"/>
  <c r="AQ14" i="10"/>
  <c r="R14" i="10"/>
  <c r="P14" i="10"/>
  <c r="M14" i="10"/>
  <c r="G14" i="10"/>
  <c r="Q14" i="10" s="1"/>
  <c r="AQ13" i="10"/>
  <c r="R13" i="10"/>
  <c r="P13" i="10"/>
  <c r="M13" i="10"/>
  <c r="E13" i="10"/>
  <c r="G13" i="10" s="1"/>
  <c r="O12" i="10"/>
  <c r="N12" i="10"/>
  <c r="L12" i="10"/>
  <c r="K12" i="10"/>
  <c r="K11" i="10" s="1"/>
  <c r="I12" i="10"/>
  <c r="I11" i="10" s="1"/>
  <c r="H12" i="10"/>
  <c r="F12" i="10"/>
  <c r="F11" i="10" s="1"/>
  <c r="D12" i="10"/>
  <c r="C12" i="10"/>
  <c r="K147" i="5"/>
  <c r="R155" i="5"/>
  <c r="V155" i="5" s="1"/>
  <c r="R154" i="5"/>
  <c r="V154" i="5" s="1"/>
  <c r="R153" i="5"/>
  <c r="V153" i="5" s="1"/>
  <c r="R152" i="5"/>
  <c r="V152" i="5" s="1"/>
  <c r="R151" i="5"/>
  <c r="W151" i="5" s="1"/>
  <c r="R150" i="5"/>
  <c r="W150" i="5" s="1"/>
  <c r="R149" i="5"/>
  <c r="V149" i="5" s="1"/>
  <c r="R148" i="5"/>
  <c r="W148" i="5" s="1"/>
  <c r="R146" i="5"/>
  <c r="V146" i="5" s="1"/>
  <c r="R145" i="5"/>
  <c r="V145" i="5" s="1"/>
  <c r="R144" i="5"/>
  <c r="W144" i="5" s="1"/>
  <c r="R143" i="5"/>
  <c r="V143" i="5" s="1"/>
  <c r="U142" i="5"/>
  <c r="U141" i="5" s="1"/>
  <c r="U140" i="5" s="1"/>
  <c r="U139" i="5" s="1"/>
  <c r="T142" i="5"/>
  <c r="T141" i="5" s="1"/>
  <c r="T140" i="5" s="1"/>
  <c r="T139" i="5" s="1"/>
  <c r="T138" i="5" s="1"/>
  <c r="S142" i="5"/>
  <c r="S141" i="5" s="1"/>
  <c r="S140" i="5" s="1"/>
  <c r="S139" i="5" s="1"/>
  <c r="S138" i="5" s="1"/>
  <c r="Q142" i="5"/>
  <c r="Q141" i="5" s="1"/>
  <c r="Q140" i="5" s="1"/>
  <c r="Q139" i="5" s="1"/>
  <c r="Q138" i="5" s="1"/>
  <c r="P142" i="5"/>
  <c r="O142" i="5"/>
  <c r="O141" i="5" s="1"/>
  <c r="O140" i="5" s="1"/>
  <c r="O139" i="5" s="1"/>
  <c r="O138" i="5" s="1"/>
  <c r="P141" i="5"/>
  <c r="P140" i="5" s="1"/>
  <c r="P139" i="5" s="1"/>
  <c r="P138" i="5" s="1"/>
  <c r="P137" i="5"/>
  <c r="R137" i="5" s="1"/>
  <c r="W137" i="5" s="1"/>
  <c r="U136" i="5"/>
  <c r="U135" i="5" s="1"/>
  <c r="U134" i="5" s="1"/>
  <c r="U133" i="5" s="1"/>
  <c r="T136" i="5"/>
  <c r="T135" i="5" s="1"/>
  <c r="T134" i="5" s="1"/>
  <c r="T133" i="5" s="1"/>
  <c r="S136" i="5"/>
  <c r="S135" i="5" s="1"/>
  <c r="S134" i="5" s="1"/>
  <c r="S133" i="5" s="1"/>
  <c r="Q136" i="5"/>
  <c r="Q135" i="5" s="1"/>
  <c r="Q134" i="5" s="1"/>
  <c r="Q133" i="5" s="1"/>
  <c r="O136" i="5"/>
  <c r="O135" i="5" s="1"/>
  <c r="O134" i="5" s="1"/>
  <c r="O133" i="5" s="1"/>
  <c r="U132" i="5"/>
  <c r="U131" i="5" s="1"/>
  <c r="U130" i="5" s="1"/>
  <c r="R132" i="5"/>
  <c r="R131" i="5" s="1"/>
  <c r="R130" i="5" s="1"/>
  <c r="R129" i="5" s="1"/>
  <c r="R128" i="5" s="1"/>
  <c r="T131" i="5"/>
  <c r="T130" i="5" s="1"/>
  <c r="T129" i="5" s="1"/>
  <c r="T128" i="5" s="1"/>
  <c r="S131" i="5"/>
  <c r="S130" i="5" s="1"/>
  <c r="S129" i="5" s="1"/>
  <c r="S128" i="5" s="1"/>
  <c r="Q131" i="5"/>
  <c r="Q130" i="5" s="1"/>
  <c r="Q129" i="5" s="1"/>
  <c r="Q128" i="5" s="1"/>
  <c r="P131" i="5"/>
  <c r="P130" i="5" s="1"/>
  <c r="P129" i="5" s="1"/>
  <c r="P128" i="5" s="1"/>
  <c r="O131" i="5"/>
  <c r="O130" i="5" s="1"/>
  <c r="O129" i="5" s="1"/>
  <c r="O128" i="5" s="1"/>
  <c r="R127" i="5"/>
  <c r="W127" i="5" s="1"/>
  <c r="U126" i="5"/>
  <c r="T126" i="5"/>
  <c r="T125" i="5" s="1"/>
  <c r="T124" i="5" s="1"/>
  <c r="S126" i="5"/>
  <c r="S125" i="5" s="1"/>
  <c r="S124" i="5" s="1"/>
  <c r="Q126" i="5"/>
  <c r="Q125" i="5" s="1"/>
  <c r="Q124" i="5" s="1"/>
  <c r="P126" i="5"/>
  <c r="P125" i="5" s="1"/>
  <c r="P124" i="5" s="1"/>
  <c r="O126" i="5"/>
  <c r="O125" i="5" s="1"/>
  <c r="O124" i="5" s="1"/>
  <c r="R122" i="5"/>
  <c r="R121" i="5" s="1"/>
  <c r="S121" i="5"/>
  <c r="S120" i="5" s="1"/>
  <c r="S119" i="5" s="1"/>
  <c r="S118" i="5" s="1"/>
  <c r="Q121" i="5"/>
  <c r="Q120" i="5" s="1"/>
  <c r="Q119" i="5" s="1"/>
  <c r="Q118" i="5" s="1"/>
  <c r="O121" i="5"/>
  <c r="O120" i="5" s="1"/>
  <c r="O119" i="5" s="1"/>
  <c r="O118" i="5" s="1"/>
  <c r="U120" i="5"/>
  <c r="U119" i="5" s="1"/>
  <c r="U118" i="5" s="1"/>
  <c r="T120" i="5"/>
  <c r="T119" i="5" s="1"/>
  <c r="T118" i="5" s="1"/>
  <c r="P120" i="5"/>
  <c r="P119" i="5" s="1"/>
  <c r="P118" i="5" s="1"/>
  <c r="R117" i="5"/>
  <c r="V117" i="5" s="1"/>
  <c r="V116" i="5" s="1"/>
  <c r="V115" i="5" s="1"/>
  <c r="V114" i="5" s="1"/>
  <c r="V113" i="5" s="1"/>
  <c r="U116" i="5"/>
  <c r="U115" i="5" s="1"/>
  <c r="T116" i="5"/>
  <c r="T115" i="5" s="1"/>
  <c r="T114" i="5" s="1"/>
  <c r="T113" i="5" s="1"/>
  <c r="S116" i="5"/>
  <c r="S115" i="5" s="1"/>
  <c r="S114" i="5" s="1"/>
  <c r="S113" i="5" s="1"/>
  <c r="Q116" i="5"/>
  <c r="Q115" i="5" s="1"/>
  <c r="Q114" i="5" s="1"/>
  <c r="Q113" i="5" s="1"/>
  <c r="P116" i="5"/>
  <c r="P115" i="5" s="1"/>
  <c r="P114" i="5" s="1"/>
  <c r="P113" i="5" s="1"/>
  <c r="O116" i="5"/>
  <c r="O115" i="5" s="1"/>
  <c r="O114" i="5" s="1"/>
  <c r="O113" i="5" s="1"/>
  <c r="U112" i="5"/>
  <c r="R112" i="5"/>
  <c r="U111" i="5"/>
  <c r="R111" i="5"/>
  <c r="T110" i="5"/>
  <c r="U110" i="5" s="1"/>
  <c r="R110" i="5"/>
  <c r="U109" i="5"/>
  <c r="R109" i="5"/>
  <c r="U108" i="5"/>
  <c r="R108" i="5"/>
  <c r="U107" i="5"/>
  <c r="R107" i="5"/>
  <c r="U106" i="5"/>
  <c r="R106" i="5"/>
  <c r="U105" i="5"/>
  <c r="R105" i="5"/>
  <c r="U104" i="5"/>
  <c r="R104" i="5"/>
  <c r="U103" i="5"/>
  <c r="R103" i="5"/>
  <c r="U102" i="5"/>
  <c r="R102" i="5"/>
  <c r="U101" i="5"/>
  <c r="R101" i="5"/>
  <c r="U100" i="5"/>
  <c r="R100" i="5"/>
  <c r="U99" i="5"/>
  <c r="R99" i="5"/>
  <c r="T98" i="5"/>
  <c r="O98" i="5"/>
  <c r="R98" i="5" s="1"/>
  <c r="S97" i="5"/>
  <c r="S96" i="5" s="1"/>
  <c r="S95" i="5" s="1"/>
  <c r="S94" i="5" s="1"/>
  <c r="S93" i="5" s="1"/>
  <c r="Q97" i="5"/>
  <c r="Q96" i="5" s="1"/>
  <c r="Q95" i="5" s="1"/>
  <c r="Q94" i="5" s="1"/>
  <c r="Q93" i="5" s="1"/>
  <c r="P97" i="5"/>
  <c r="P96" i="5" s="1"/>
  <c r="P95" i="5" s="1"/>
  <c r="P94" i="5" s="1"/>
  <c r="P93" i="5" s="1"/>
  <c r="R90" i="5"/>
  <c r="W90" i="5" s="1"/>
  <c r="O89" i="5"/>
  <c r="R89" i="5" s="1"/>
  <c r="V89" i="5" s="1"/>
  <c r="O88" i="5"/>
  <c r="R88" i="5" s="1"/>
  <c r="U87" i="5"/>
  <c r="U86" i="5"/>
  <c r="R86" i="5"/>
  <c r="T85" i="5"/>
  <c r="T84" i="5" s="1"/>
  <c r="T83" i="5" s="1"/>
  <c r="S85" i="5"/>
  <c r="S84" i="5" s="1"/>
  <c r="S83" i="5" s="1"/>
  <c r="Q85" i="5"/>
  <c r="Q84" i="5" s="1"/>
  <c r="Q83" i="5" s="1"/>
  <c r="P85" i="5"/>
  <c r="P84" i="5" s="1"/>
  <c r="P83" i="5" s="1"/>
  <c r="O82" i="5"/>
  <c r="R82" i="5" s="1"/>
  <c r="W82" i="5" s="1"/>
  <c r="U81" i="5"/>
  <c r="U80" i="5" s="1"/>
  <c r="U79" i="5" s="1"/>
  <c r="T81" i="5"/>
  <c r="T80" i="5" s="1"/>
  <c r="T79" i="5" s="1"/>
  <c r="S81" i="5"/>
  <c r="S80" i="5" s="1"/>
  <c r="S79" i="5" s="1"/>
  <c r="Q81" i="5"/>
  <c r="Q80" i="5" s="1"/>
  <c r="Q79" i="5" s="1"/>
  <c r="P81" i="5"/>
  <c r="P80" i="5" s="1"/>
  <c r="P79" i="5" s="1"/>
  <c r="U77" i="5"/>
  <c r="R77" i="5"/>
  <c r="T76" i="5"/>
  <c r="T75" i="5" s="1"/>
  <c r="S76" i="5"/>
  <c r="S75" i="5" s="1"/>
  <c r="Q76" i="5"/>
  <c r="Q75" i="5" s="1"/>
  <c r="P76" i="5"/>
  <c r="P75" i="5" s="1"/>
  <c r="O76" i="5"/>
  <c r="O75" i="5" s="1"/>
  <c r="U74" i="5"/>
  <c r="R74" i="5"/>
  <c r="R73" i="5" s="1"/>
  <c r="T73" i="5"/>
  <c r="S73" i="5"/>
  <c r="Q73" i="5"/>
  <c r="P73" i="5"/>
  <c r="O73" i="5"/>
  <c r="T72" i="5"/>
  <c r="T71" i="5" s="1"/>
  <c r="R72" i="5"/>
  <c r="R71" i="5" s="1"/>
  <c r="S71" i="5"/>
  <c r="Q71" i="5"/>
  <c r="P71" i="5"/>
  <c r="O71" i="5"/>
  <c r="R69" i="5"/>
  <c r="W69" i="5" s="1"/>
  <c r="S68" i="5"/>
  <c r="S67" i="5" s="1"/>
  <c r="Q68" i="5"/>
  <c r="Q67" i="5" s="1"/>
  <c r="O68" i="5"/>
  <c r="O67" i="5" s="1"/>
  <c r="U67" i="5"/>
  <c r="T67" i="5"/>
  <c r="P67" i="5"/>
  <c r="U66" i="5"/>
  <c r="R66" i="5"/>
  <c r="U65" i="5"/>
  <c r="R65" i="5"/>
  <c r="U64" i="5"/>
  <c r="R64" i="5"/>
  <c r="T63" i="5"/>
  <c r="S63" i="5"/>
  <c r="Q63" i="5"/>
  <c r="P63" i="5"/>
  <c r="O63" i="5"/>
  <c r="U62" i="5"/>
  <c r="R62" i="5"/>
  <c r="U61" i="5"/>
  <c r="R61" i="5"/>
  <c r="U60" i="5"/>
  <c r="R60" i="5"/>
  <c r="U59" i="5"/>
  <c r="R59" i="5"/>
  <c r="T58" i="5"/>
  <c r="S58" i="5"/>
  <c r="Q58" i="5"/>
  <c r="P58" i="5"/>
  <c r="O58" i="5"/>
  <c r="R55" i="5"/>
  <c r="W55" i="5" s="1"/>
  <c r="U54" i="5"/>
  <c r="T54" i="5"/>
  <c r="S54" i="5"/>
  <c r="Q54" i="5"/>
  <c r="P54" i="5"/>
  <c r="O54" i="5"/>
  <c r="R53" i="5"/>
  <c r="V53" i="5" s="1"/>
  <c r="U52" i="5"/>
  <c r="U51" i="5" s="1"/>
  <c r="R52" i="5"/>
  <c r="T51" i="5"/>
  <c r="S51" i="5"/>
  <c r="Q51" i="5"/>
  <c r="Q50" i="5" s="1"/>
  <c r="P51" i="5"/>
  <c r="O51" i="5"/>
  <c r="O50" i="5" s="1"/>
  <c r="U49" i="5"/>
  <c r="U48" i="5" s="1"/>
  <c r="V48" i="5"/>
  <c r="T48" i="5"/>
  <c r="S48" i="5"/>
  <c r="R48" i="5"/>
  <c r="Q48" i="5"/>
  <c r="P48" i="5"/>
  <c r="O48" i="5"/>
  <c r="U47" i="5"/>
  <c r="R47" i="5"/>
  <c r="T46" i="5"/>
  <c r="U46" i="5" s="1"/>
  <c r="R46" i="5"/>
  <c r="T45" i="5"/>
  <c r="U45" i="5" s="1"/>
  <c r="R45" i="5"/>
  <c r="S44" i="5"/>
  <c r="Q44" i="5"/>
  <c r="P44" i="5"/>
  <c r="O44" i="5"/>
  <c r="R43" i="5"/>
  <c r="U42" i="5"/>
  <c r="U40" i="5" s="1"/>
  <c r="R42" i="5"/>
  <c r="R41" i="5"/>
  <c r="V41" i="5" s="1"/>
  <c r="V40" i="5" s="1"/>
  <c r="T40" i="5"/>
  <c r="S40" i="5"/>
  <c r="Q40" i="5"/>
  <c r="P40" i="5"/>
  <c r="O40" i="5"/>
  <c r="U36" i="5"/>
  <c r="R36" i="5"/>
  <c r="T35" i="5"/>
  <c r="U35" i="5" s="1"/>
  <c r="R35" i="5"/>
  <c r="U34" i="5"/>
  <c r="R34" i="5"/>
  <c r="U33" i="5"/>
  <c r="R33" i="5"/>
  <c r="S32" i="5"/>
  <c r="Q32" i="5"/>
  <c r="P32" i="5"/>
  <c r="O32" i="5"/>
  <c r="U31" i="5"/>
  <c r="R31" i="5"/>
  <c r="U30" i="5"/>
  <c r="O30" i="5"/>
  <c r="R30" i="5" s="1"/>
  <c r="U29" i="5"/>
  <c r="R29" i="5"/>
  <c r="R28" i="5"/>
  <c r="V28" i="5" s="1"/>
  <c r="T27" i="5"/>
  <c r="S27" i="5"/>
  <c r="Q27" i="5"/>
  <c r="P27" i="5"/>
  <c r="U24" i="5"/>
  <c r="U23" i="5" s="1"/>
  <c r="R24" i="5"/>
  <c r="R23" i="5" s="1"/>
  <c r="R22" i="5" s="1"/>
  <c r="R21" i="5" s="1"/>
  <c r="T23" i="5"/>
  <c r="T22" i="5" s="1"/>
  <c r="T21" i="5" s="1"/>
  <c r="S23" i="5"/>
  <c r="S22" i="5" s="1"/>
  <c r="S21" i="5" s="1"/>
  <c r="Q23" i="5"/>
  <c r="Q22" i="5" s="1"/>
  <c r="Q21" i="5" s="1"/>
  <c r="P23" i="5"/>
  <c r="P22" i="5" s="1"/>
  <c r="P21" i="5" s="1"/>
  <c r="O23" i="5"/>
  <c r="O22" i="5" s="1"/>
  <c r="O21" i="5" s="1"/>
  <c r="R19" i="5"/>
  <c r="V19" i="5" s="1"/>
  <c r="U18" i="5"/>
  <c r="R18" i="5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O17" i="5"/>
  <c r="O15" i="5" s="1"/>
  <c r="O14" i="5" s="1"/>
  <c r="O13" i="5" s="1"/>
  <c r="O12" i="5" s="1"/>
  <c r="O11" i="5" s="1"/>
  <c r="R16" i="5"/>
  <c r="U15" i="5"/>
  <c r="U14" i="5" s="1"/>
  <c r="U13" i="5" s="1"/>
  <c r="U12" i="5" s="1"/>
  <c r="U11" i="5" s="1"/>
  <c r="T15" i="5"/>
  <c r="T14" i="5" s="1"/>
  <c r="T13" i="5" s="1"/>
  <c r="T12" i="5" s="1"/>
  <c r="T11" i="5" s="1"/>
  <c r="P15" i="5"/>
  <c r="P14" i="5" s="1"/>
  <c r="P13" i="5" s="1"/>
  <c r="P12" i="5" s="1"/>
  <c r="P11" i="5" s="1"/>
  <c r="R229" i="10" l="1"/>
  <c r="R441" i="10"/>
  <c r="R440" i="10" s="1"/>
  <c r="C645" i="10"/>
  <c r="N645" i="10"/>
  <c r="K645" i="10"/>
  <c r="H645" i="10"/>
  <c r="I649" i="10"/>
  <c r="E653" i="10"/>
  <c r="L399" i="10"/>
  <c r="D645" i="10"/>
  <c r="N420" i="10"/>
  <c r="N419" i="10" s="1"/>
  <c r="E645" i="10"/>
  <c r="F649" i="10"/>
  <c r="M249" i="10"/>
  <c r="M633" i="10"/>
  <c r="R376" i="10"/>
  <c r="F399" i="10"/>
  <c r="M400" i="10"/>
  <c r="D38" i="5"/>
  <c r="J286" i="10"/>
  <c r="Q286" i="10"/>
  <c r="J334" i="10"/>
  <c r="Q334" i="10"/>
  <c r="J411" i="10"/>
  <c r="Q411" i="10"/>
  <c r="J480" i="10"/>
  <c r="Q480" i="10"/>
  <c r="J504" i="10"/>
  <c r="Q504" i="10"/>
  <c r="J536" i="10"/>
  <c r="Q536" i="10"/>
  <c r="J572" i="10"/>
  <c r="Q572" i="10"/>
  <c r="J583" i="10"/>
  <c r="Q583" i="10"/>
  <c r="J595" i="10"/>
  <c r="Q595" i="10"/>
  <c r="J603" i="10"/>
  <c r="Q603" i="10"/>
  <c r="J611" i="10"/>
  <c r="Q611" i="10"/>
  <c r="J176" i="10"/>
  <c r="Q176" i="10"/>
  <c r="J203" i="10"/>
  <c r="Q203" i="10"/>
  <c r="J395" i="10"/>
  <c r="Q395" i="10"/>
  <c r="J401" i="10"/>
  <c r="Q401" i="10"/>
  <c r="J497" i="10"/>
  <c r="Q497" i="10"/>
  <c r="J521" i="10"/>
  <c r="Q521" i="10"/>
  <c r="J545" i="10"/>
  <c r="Q545" i="10"/>
  <c r="J561" i="10"/>
  <c r="Q561" i="10"/>
  <c r="J34" i="10"/>
  <c r="Q34" i="10"/>
  <c r="J70" i="10"/>
  <c r="Q70" i="10"/>
  <c r="J73" i="10"/>
  <c r="Q73" i="10"/>
  <c r="J134" i="10"/>
  <c r="Q134" i="10"/>
  <c r="J144" i="10"/>
  <c r="Q144" i="10"/>
  <c r="J146" i="10"/>
  <c r="Q146" i="10"/>
  <c r="J156" i="10"/>
  <c r="Q156" i="10"/>
  <c r="J158" i="10"/>
  <c r="Q158" i="10"/>
  <c r="J160" i="10"/>
  <c r="Q160" i="10"/>
  <c r="J167" i="10"/>
  <c r="Q167" i="10"/>
  <c r="J171" i="10"/>
  <c r="Q171" i="10"/>
  <c r="J180" i="10"/>
  <c r="Q180" i="10"/>
  <c r="J182" i="10"/>
  <c r="Q182" i="10"/>
  <c r="J190" i="10"/>
  <c r="Q190" i="10"/>
  <c r="J192" i="10"/>
  <c r="Q192" i="10"/>
  <c r="J200" i="10"/>
  <c r="Q200" i="10"/>
  <c r="R640" i="10"/>
  <c r="J232" i="10"/>
  <c r="Q232" i="10"/>
  <c r="J245" i="10"/>
  <c r="Q245" i="10"/>
  <c r="J276" i="10"/>
  <c r="Q276" i="10"/>
  <c r="J281" i="10"/>
  <c r="Q281" i="10"/>
  <c r="J351" i="10"/>
  <c r="Q351" i="10"/>
  <c r="J358" i="10"/>
  <c r="Q358" i="10"/>
  <c r="J360" i="10"/>
  <c r="Q360" i="10"/>
  <c r="J365" i="10"/>
  <c r="Q365" i="10"/>
  <c r="J372" i="10"/>
  <c r="Q372" i="10"/>
  <c r="J377" i="10"/>
  <c r="Q377" i="10"/>
  <c r="J382" i="10"/>
  <c r="Q382" i="10"/>
  <c r="J384" i="10"/>
  <c r="Q384" i="10"/>
  <c r="P385" i="10"/>
  <c r="J392" i="10"/>
  <c r="Q392" i="10"/>
  <c r="J397" i="10"/>
  <c r="Q397" i="10"/>
  <c r="J450" i="10"/>
  <c r="Q450" i="10"/>
  <c r="J471" i="10"/>
  <c r="Q471" i="10"/>
  <c r="J479" i="10"/>
  <c r="Q479" i="10"/>
  <c r="J487" i="10"/>
  <c r="Q487" i="10"/>
  <c r="J495" i="10"/>
  <c r="Q495" i="10"/>
  <c r="J503" i="10"/>
  <c r="Q503" i="10"/>
  <c r="J511" i="10"/>
  <c r="Q511" i="10"/>
  <c r="J519" i="10"/>
  <c r="Q519" i="10"/>
  <c r="J527" i="10"/>
  <c r="Q527" i="10"/>
  <c r="J535" i="10"/>
  <c r="Q535" i="10"/>
  <c r="J543" i="10"/>
  <c r="Q543" i="10"/>
  <c r="J551" i="10"/>
  <c r="Q551" i="10"/>
  <c r="J555" i="10"/>
  <c r="Q555" i="10"/>
  <c r="J563" i="10"/>
  <c r="Q563" i="10"/>
  <c r="J571" i="10"/>
  <c r="Q571" i="10"/>
  <c r="J579" i="10"/>
  <c r="Q579" i="10"/>
  <c r="J32" i="10"/>
  <c r="Q32" i="10"/>
  <c r="J88" i="10"/>
  <c r="Q88" i="10"/>
  <c r="J512" i="10"/>
  <c r="Q512" i="10"/>
  <c r="J552" i="10"/>
  <c r="Q552" i="10"/>
  <c r="J585" i="10"/>
  <c r="Q585" i="10"/>
  <c r="J601" i="10"/>
  <c r="Q601" i="10"/>
  <c r="J615" i="10"/>
  <c r="Q615" i="10"/>
  <c r="J43" i="10"/>
  <c r="Q43" i="10"/>
  <c r="J274" i="10"/>
  <c r="Q274" i="10"/>
  <c r="J380" i="10"/>
  <c r="Q380" i="10"/>
  <c r="J210" i="10"/>
  <c r="Q210" i="10"/>
  <c r="J219" i="10"/>
  <c r="Q219" i="10"/>
  <c r="E257" i="10"/>
  <c r="E634" i="10" s="1"/>
  <c r="J259" i="10"/>
  <c r="Q259" i="10"/>
  <c r="J261" i="10"/>
  <c r="Q261" i="10"/>
  <c r="P282" i="10"/>
  <c r="J307" i="10"/>
  <c r="Q307" i="10"/>
  <c r="J313" i="10"/>
  <c r="Q313" i="10"/>
  <c r="J321" i="10"/>
  <c r="Q321" i="10"/>
  <c r="J323" i="10"/>
  <c r="Q323" i="10"/>
  <c r="H319" i="10"/>
  <c r="J328" i="10"/>
  <c r="Q328" i="10"/>
  <c r="J339" i="10"/>
  <c r="Q339" i="10"/>
  <c r="J414" i="10"/>
  <c r="Q414" i="10"/>
  <c r="J474" i="10"/>
  <c r="Q474" i="10"/>
  <c r="J482" i="10"/>
  <c r="Q482" i="10"/>
  <c r="J490" i="10"/>
  <c r="Q490" i="10"/>
  <c r="J498" i="10"/>
  <c r="Q498" i="10"/>
  <c r="J506" i="10"/>
  <c r="Q506" i="10"/>
  <c r="J514" i="10"/>
  <c r="Q514" i="10"/>
  <c r="J522" i="10"/>
  <c r="Q522" i="10"/>
  <c r="J530" i="10"/>
  <c r="Q530" i="10"/>
  <c r="J538" i="10"/>
  <c r="Q538" i="10"/>
  <c r="J546" i="10"/>
  <c r="Q546" i="10"/>
  <c r="J556" i="10"/>
  <c r="Q556" i="10"/>
  <c r="J574" i="10"/>
  <c r="Q574" i="10"/>
  <c r="J325" i="10"/>
  <c r="Q325" i="10"/>
  <c r="J528" i="10"/>
  <c r="Q528" i="10"/>
  <c r="J589" i="10"/>
  <c r="Q589" i="10"/>
  <c r="J599" i="10"/>
  <c r="Q599" i="10"/>
  <c r="J607" i="10"/>
  <c r="Q607" i="10"/>
  <c r="J617" i="10"/>
  <c r="Q617" i="10"/>
  <c r="J163" i="10"/>
  <c r="Q163" i="10"/>
  <c r="J196" i="10"/>
  <c r="Q196" i="10"/>
  <c r="J205" i="10"/>
  <c r="Q205" i="10"/>
  <c r="J354" i="10"/>
  <c r="Q354" i="10"/>
  <c r="J363" i="10"/>
  <c r="Q363" i="10"/>
  <c r="J408" i="10"/>
  <c r="Q408" i="10"/>
  <c r="J460" i="10"/>
  <c r="Q460" i="10"/>
  <c r="J481" i="10"/>
  <c r="Q481" i="10"/>
  <c r="J83" i="10"/>
  <c r="Q83" i="10"/>
  <c r="J100" i="10"/>
  <c r="Q100" i="10"/>
  <c r="J115" i="10"/>
  <c r="Q115" i="10"/>
  <c r="J132" i="10"/>
  <c r="Q132" i="10"/>
  <c r="J74" i="10"/>
  <c r="Q74" i="10"/>
  <c r="G136" i="10"/>
  <c r="J143" i="10"/>
  <c r="Q143" i="10"/>
  <c r="J157" i="10"/>
  <c r="Q157" i="10"/>
  <c r="J159" i="10"/>
  <c r="Q159" i="10"/>
  <c r="J161" i="10"/>
  <c r="Q161" i="10"/>
  <c r="J168" i="10"/>
  <c r="Q168" i="10"/>
  <c r="J179" i="10"/>
  <c r="Q179" i="10"/>
  <c r="J181" i="10"/>
  <c r="Q181" i="10"/>
  <c r="J201" i="10"/>
  <c r="Q201" i="10"/>
  <c r="C233" i="10"/>
  <c r="N233" i="10"/>
  <c r="J246" i="10"/>
  <c r="Q246" i="10"/>
  <c r="J253" i="10"/>
  <c r="Q253" i="10"/>
  <c r="J277" i="10"/>
  <c r="Q277" i="10"/>
  <c r="J299" i="10"/>
  <c r="Q299" i="10"/>
  <c r="J302" i="10"/>
  <c r="Q302" i="10"/>
  <c r="J350" i="10"/>
  <c r="Q350" i="10"/>
  <c r="J352" i="10"/>
  <c r="Q352" i="10"/>
  <c r="J359" i="10"/>
  <c r="Q359" i="10"/>
  <c r="J371" i="10"/>
  <c r="Q371" i="10"/>
  <c r="J378" i="10"/>
  <c r="Q378" i="10"/>
  <c r="J383" i="10"/>
  <c r="Q383" i="10"/>
  <c r="J391" i="10"/>
  <c r="Q391" i="10"/>
  <c r="J398" i="10"/>
  <c r="Q398" i="10"/>
  <c r="J404" i="10"/>
  <c r="Q404" i="10"/>
  <c r="J406" i="10"/>
  <c r="Q406" i="10"/>
  <c r="J431" i="10"/>
  <c r="Q431" i="10"/>
  <c r="J451" i="10"/>
  <c r="Q451" i="10"/>
  <c r="J463" i="10"/>
  <c r="Q463" i="10"/>
  <c r="J475" i="10"/>
  <c r="Q475" i="10"/>
  <c r="J483" i="10"/>
  <c r="Q483" i="10"/>
  <c r="J491" i="10"/>
  <c r="Q491" i="10"/>
  <c r="J499" i="10"/>
  <c r="Q499" i="10"/>
  <c r="J507" i="10"/>
  <c r="Q507" i="10"/>
  <c r="J515" i="10"/>
  <c r="Q515" i="10"/>
  <c r="J523" i="10"/>
  <c r="Q523" i="10"/>
  <c r="J531" i="10"/>
  <c r="Q531" i="10"/>
  <c r="J539" i="10"/>
  <c r="Q539" i="10"/>
  <c r="J547" i="10"/>
  <c r="Q547" i="10"/>
  <c r="J567" i="10"/>
  <c r="Q567" i="10"/>
  <c r="J575" i="10"/>
  <c r="Q575" i="10"/>
  <c r="J265" i="10"/>
  <c r="Q265" i="10"/>
  <c r="J332" i="10"/>
  <c r="Q332" i="10"/>
  <c r="J416" i="10"/>
  <c r="Q416" i="10"/>
  <c r="J496" i="10"/>
  <c r="Q496" i="10"/>
  <c r="J593" i="10"/>
  <c r="Q593" i="10"/>
  <c r="J609" i="10"/>
  <c r="Q609" i="10"/>
  <c r="J151" i="10"/>
  <c r="Q151" i="10"/>
  <c r="J174" i="10"/>
  <c r="Q174" i="10"/>
  <c r="J228" i="10"/>
  <c r="Q228" i="10"/>
  <c r="J239" i="10"/>
  <c r="Q239" i="10"/>
  <c r="J255" i="10"/>
  <c r="Q255" i="10"/>
  <c r="J272" i="10"/>
  <c r="Q272" i="10"/>
  <c r="J438" i="10"/>
  <c r="Q438" i="10"/>
  <c r="J448" i="10"/>
  <c r="Q448" i="10"/>
  <c r="J489" i="10"/>
  <c r="Q489" i="10"/>
  <c r="J537" i="10"/>
  <c r="Q537" i="10"/>
  <c r="J55" i="10"/>
  <c r="Q55" i="10"/>
  <c r="J105" i="10"/>
  <c r="Q105" i="10"/>
  <c r="J42" i="10"/>
  <c r="Q42" i="10"/>
  <c r="J89" i="10"/>
  <c r="Q89" i="10"/>
  <c r="J96" i="10"/>
  <c r="Q96" i="10"/>
  <c r="J112" i="10"/>
  <c r="Q112" i="10"/>
  <c r="J126" i="10"/>
  <c r="Q126" i="10"/>
  <c r="J128" i="10"/>
  <c r="Q128" i="10"/>
  <c r="J215" i="10"/>
  <c r="Q215" i="10"/>
  <c r="J222" i="10"/>
  <c r="Q222" i="10"/>
  <c r="C282" i="10"/>
  <c r="J311" i="10"/>
  <c r="Q311" i="10"/>
  <c r="J316" i="10"/>
  <c r="Q316" i="10"/>
  <c r="M349" i="10"/>
  <c r="J422" i="10"/>
  <c r="Q422" i="10"/>
  <c r="J476" i="10"/>
  <c r="Q476" i="10"/>
  <c r="J484" i="10"/>
  <c r="Q484" i="10"/>
  <c r="J492" i="10"/>
  <c r="Q492" i="10"/>
  <c r="J500" i="10"/>
  <c r="Q500" i="10"/>
  <c r="J508" i="10"/>
  <c r="Q508" i="10"/>
  <c r="J516" i="10"/>
  <c r="Q516" i="10"/>
  <c r="J524" i="10"/>
  <c r="Q524" i="10"/>
  <c r="J532" i="10"/>
  <c r="Q532" i="10"/>
  <c r="J540" i="10"/>
  <c r="Q540" i="10"/>
  <c r="J548" i="10"/>
  <c r="Q548" i="10"/>
  <c r="J554" i="10"/>
  <c r="Q554" i="10"/>
  <c r="J562" i="10"/>
  <c r="Q562" i="10"/>
  <c r="J568" i="10"/>
  <c r="Q568" i="10"/>
  <c r="J576" i="10"/>
  <c r="Q576" i="10"/>
  <c r="J582" i="10"/>
  <c r="Q582" i="10"/>
  <c r="J590" i="10"/>
  <c r="Q590" i="10"/>
  <c r="J594" i="10"/>
  <c r="Q594" i="10"/>
  <c r="J598" i="10"/>
  <c r="Q598" i="10"/>
  <c r="J602" i="10"/>
  <c r="Q602" i="10"/>
  <c r="J606" i="10"/>
  <c r="Q606" i="10"/>
  <c r="J610" i="10"/>
  <c r="Q610" i="10"/>
  <c r="J614" i="10"/>
  <c r="Q614" i="10"/>
  <c r="J618" i="10"/>
  <c r="Q618" i="10"/>
  <c r="J125" i="10"/>
  <c r="Q125" i="10"/>
  <c r="J423" i="10"/>
  <c r="Q423" i="10"/>
  <c r="J488" i="10"/>
  <c r="Q488" i="10"/>
  <c r="J544" i="10"/>
  <c r="Q544" i="10"/>
  <c r="J587" i="10"/>
  <c r="Q587" i="10"/>
  <c r="J68" i="10"/>
  <c r="Q68" i="10"/>
  <c r="J149" i="10"/>
  <c r="Q149" i="10"/>
  <c r="J198" i="10"/>
  <c r="Q198" i="10"/>
  <c r="J375" i="10"/>
  <c r="Q375" i="10"/>
  <c r="J387" i="10"/>
  <c r="Q387" i="10"/>
  <c r="J513" i="10"/>
  <c r="Q513" i="10"/>
  <c r="N86" i="10"/>
  <c r="N77" i="10" s="1"/>
  <c r="N76" i="10" s="1"/>
  <c r="M87" i="10"/>
  <c r="J141" i="10"/>
  <c r="Q141" i="10"/>
  <c r="J148" i="10"/>
  <c r="Q148" i="10"/>
  <c r="J152" i="10"/>
  <c r="Q152" i="10"/>
  <c r="J164" i="10"/>
  <c r="Q164" i="10"/>
  <c r="J173" i="10"/>
  <c r="Q173" i="10"/>
  <c r="J175" i="10"/>
  <c r="Q175" i="10"/>
  <c r="J184" i="10"/>
  <c r="Q184" i="10"/>
  <c r="J186" i="10"/>
  <c r="Q186" i="10"/>
  <c r="J197" i="10"/>
  <c r="Q197" i="10"/>
  <c r="J204" i="10"/>
  <c r="Q204" i="10"/>
  <c r="J206" i="10"/>
  <c r="Q206" i="10"/>
  <c r="J235" i="10"/>
  <c r="Q235" i="10"/>
  <c r="J251" i="10"/>
  <c r="Q251" i="10"/>
  <c r="J256" i="10"/>
  <c r="Q256" i="10"/>
  <c r="J344" i="10"/>
  <c r="Q344" i="10"/>
  <c r="J355" i="10"/>
  <c r="Q355" i="10"/>
  <c r="J362" i="10"/>
  <c r="Q362" i="10"/>
  <c r="J367" i="10"/>
  <c r="Q367" i="10"/>
  <c r="J369" i="10"/>
  <c r="Q369" i="10"/>
  <c r="J374" i="10"/>
  <c r="Q374" i="10"/>
  <c r="J388" i="10"/>
  <c r="Q388" i="10"/>
  <c r="J394" i="10"/>
  <c r="Q394" i="10"/>
  <c r="J402" i="10"/>
  <c r="Q402" i="10"/>
  <c r="D420" i="10"/>
  <c r="D419" i="10" s="1"/>
  <c r="J429" i="10"/>
  <c r="Q429" i="10"/>
  <c r="J439" i="10"/>
  <c r="Q439" i="10"/>
  <c r="J454" i="10"/>
  <c r="Q454" i="10"/>
  <c r="E657" i="10"/>
  <c r="J468" i="10"/>
  <c r="Q468" i="10"/>
  <c r="J477" i="10"/>
  <c r="Q477" i="10"/>
  <c r="J485" i="10"/>
  <c r="Q485" i="10"/>
  <c r="J493" i="10"/>
  <c r="Q493" i="10"/>
  <c r="J501" i="10"/>
  <c r="Q501" i="10"/>
  <c r="J509" i="10"/>
  <c r="Q509" i="10"/>
  <c r="J517" i="10"/>
  <c r="Q517" i="10"/>
  <c r="J525" i="10"/>
  <c r="Q525" i="10"/>
  <c r="J533" i="10"/>
  <c r="Q533" i="10"/>
  <c r="J541" i="10"/>
  <c r="Q541" i="10"/>
  <c r="J549" i="10"/>
  <c r="Q549" i="10"/>
  <c r="J557" i="10"/>
  <c r="Q557" i="10"/>
  <c r="J569" i="10"/>
  <c r="Q569" i="10"/>
  <c r="J577" i="10"/>
  <c r="Q577" i="10"/>
  <c r="J95" i="10"/>
  <c r="Q95" i="10"/>
  <c r="J122" i="10"/>
  <c r="Q122" i="10"/>
  <c r="J472" i="10"/>
  <c r="Q472" i="10"/>
  <c r="J520" i="10"/>
  <c r="Q520" i="10"/>
  <c r="J591" i="10"/>
  <c r="Q591" i="10"/>
  <c r="J597" i="10"/>
  <c r="Q597" i="10"/>
  <c r="J605" i="10"/>
  <c r="Q605" i="10"/>
  <c r="J613" i="10"/>
  <c r="Q613" i="10"/>
  <c r="J165" i="10"/>
  <c r="Q165" i="10"/>
  <c r="J250" i="10"/>
  <c r="Q250" i="10"/>
  <c r="J279" i="10"/>
  <c r="Q279" i="10"/>
  <c r="J436" i="10"/>
  <c r="Q436" i="10"/>
  <c r="J473" i="10"/>
  <c r="Q473" i="10"/>
  <c r="J505" i="10"/>
  <c r="Q505" i="10"/>
  <c r="J529" i="10"/>
  <c r="Q529" i="10"/>
  <c r="J553" i="10"/>
  <c r="Q553" i="10"/>
  <c r="J573" i="10"/>
  <c r="Q573" i="10"/>
  <c r="J40" i="10"/>
  <c r="Q40" i="10"/>
  <c r="J51" i="10"/>
  <c r="Q51" i="10"/>
  <c r="J85" i="10"/>
  <c r="Q85" i="10"/>
  <c r="J93" i="10"/>
  <c r="Q93" i="10"/>
  <c r="J98" i="10"/>
  <c r="Q98" i="10"/>
  <c r="J13" i="10"/>
  <c r="Q13" i="10"/>
  <c r="J44" i="10"/>
  <c r="Q44" i="10"/>
  <c r="J50" i="10"/>
  <c r="Q50" i="10"/>
  <c r="J52" i="10"/>
  <c r="Q52" i="10"/>
  <c r="J54" i="10"/>
  <c r="Q54" i="10"/>
  <c r="J56" i="10"/>
  <c r="Q56" i="10"/>
  <c r="J82" i="10"/>
  <c r="Q82" i="10"/>
  <c r="J99" i="10"/>
  <c r="Q99" i="10"/>
  <c r="J106" i="10"/>
  <c r="Q106" i="10"/>
  <c r="J138" i="10"/>
  <c r="Q138" i="10"/>
  <c r="J211" i="10"/>
  <c r="Q211" i="10"/>
  <c r="J213" i="10"/>
  <c r="Q213" i="10"/>
  <c r="J260" i="10"/>
  <c r="Q260" i="10"/>
  <c r="J262" i="10"/>
  <c r="Q262" i="10"/>
  <c r="J290" i="10"/>
  <c r="Q290" i="10"/>
  <c r="N308" i="10"/>
  <c r="N305" i="10" s="1"/>
  <c r="K308" i="10"/>
  <c r="K305" i="10" s="1"/>
  <c r="J314" i="10"/>
  <c r="Q314" i="10"/>
  <c r="J322" i="10"/>
  <c r="Q322" i="10"/>
  <c r="C319" i="10"/>
  <c r="C318" i="10" s="1"/>
  <c r="C317" i="10" s="1"/>
  <c r="J327" i="10"/>
  <c r="Q327" i="10"/>
  <c r="J338" i="10"/>
  <c r="Q338" i="10"/>
  <c r="M393" i="10"/>
  <c r="J413" i="10"/>
  <c r="Q413" i="10"/>
  <c r="J418" i="10"/>
  <c r="Q418" i="10"/>
  <c r="F433" i="10"/>
  <c r="F432" i="10" s="1"/>
  <c r="F657" i="10"/>
  <c r="J478" i="10"/>
  <c r="Q478" i="10"/>
  <c r="J486" i="10"/>
  <c r="Q486" i="10"/>
  <c r="J494" i="10"/>
  <c r="Q494" i="10"/>
  <c r="J502" i="10"/>
  <c r="Q502" i="10"/>
  <c r="J510" i="10"/>
  <c r="Q510" i="10"/>
  <c r="J518" i="10"/>
  <c r="Q518" i="10"/>
  <c r="J526" i="10"/>
  <c r="Q526" i="10"/>
  <c r="J534" i="10"/>
  <c r="Q534" i="10"/>
  <c r="J542" i="10"/>
  <c r="Q542" i="10"/>
  <c r="J550" i="10"/>
  <c r="Q550" i="10"/>
  <c r="J570" i="10"/>
  <c r="Q570" i="10"/>
  <c r="J578" i="10"/>
  <c r="Q578" i="10"/>
  <c r="E24" i="10"/>
  <c r="M111" i="10"/>
  <c r="M110" i="10" s="1"/>
  <c r="R119" i="10"/>
  <c r="H193" i="10"/>
  <c r="K208" i="10"/>
  <c r="G234" i="10"/>
  <c r="R254" i="10"/>
  <c r="D308" i="10"/>
  <c r="D305" i="10" s="1"/>
  <c r="R309" i="10"/>
  <c r="N399" i="10"/>
  <c r="R421" i="10"/>
  <c r="F420" i="10"/>
  <c r="F419" i="10" s="1"/>
  <c r="P441" i="10"/>
  <c r="P440" i="10" s="1"/>
  <c r="P452" i="10"/>
  <c r="F86" i="10"/>
  <c r="F77" i="10" s="1"/>
  <c r="F76" i="10" s="1"/>
  <c r="P233" i="10"/>
  <c r="N389" i="10"/>
  <c r="I153" i="10"/>
  <c r="P370" i="10"/>
  <c r="P390" i="10"/>
  <c r="R393" i="10"/>
  <c r="P400" i="10"/>
  <c r="E433" i="10"/>
  <c r="E432" i="10" s="1"/>
  <c r="I426" i="10"/>
  <c r="V104" i="5"/>
  <c r="V108" i="5"/>
  <c r="V112" i="5"/>
  <c r="N11" i="10"/>
  <c r="M58" i="10"/>
  <c r="M178" i="10"/>
  <c r="I631" i="10"/>
  <c r="K233" i="10"/>
  <c r="K638" i="10" s="1"/>
  <c r="H318" i="10"/>
  <c r="H317" i="10" s="1"/>
  <c r="R390" i="10"/>
  <c r="M412" i="10"/>
  <c r="M409" i="10" s="1"/>
  <c r="R111" i="10"/>
  <c r="R110" i="10" s="1"/>
  <c r="L233" i="10"/>
  <c r="N257" i="10"/>
  <c r="N634" i="10" s="1"/>
  <c r="G393" i="10"/>
  <c r="N426" i="10"/>
  <c r="D638" i="10"/>
  <c r="O257" i="10"/>
  <c r="O634" i="10" s="1"/>
  <c r="D270" i="10"/>
  <c r="P312" i="10"/>
  <c r="R361" i="10"/>
  <c r="R366" i="10"/>
  <c r="D657" i="10"/>
  <c r="C653" i="10"/>
  <c r="N653" i="10"/>
  <c r="K653" i="10"/>
  <c r="M660" i="10"/>
  <c r="J608" i="10"/>
  <c r="J66" i="10"/>
  <c r="J461" i="10"/>
  <c r="J596" i="10"/>
  <c r="J612" i="10"/>
  <c r="J616" i="10"/>
  <c r="W77" i="5"/>
  <c r="AS14" i="10"/>
  <c r="J14" i="10"/>
  <c r="J19" i="10"/>
  <c r="I24" i="10"/>
  <c r="J57" i="10"/>
  <c r="J101" i="10"/>
  <c r="I139" i="10"/>
  <c r="K139" i="10"/>
  <c r="J177" i="10"/>
  <c r="D193" i="10"/>
  <c r="J230" i="10"/>
  <c r="F233" i="10"/>
  <c r="F638" i="10" s="1"/>
  <c r="J237" i="10"/>
  <c r="J310" i="10"/>
  <c r="E348" i="10"/>
  <c r="E347" i="10" s="1"/>
  <c r="I399" i="10"/>
  <c r="I409" i="10"/>
  <c r="G455" i="10"/>
  <c r="J457" i="10"/>
  <c r="J464" i="10"/>
  <c r="J564" i="10"/>
  <c r="G63" i="10"/>
  <c r="J64" i="10"/>
  <c r="J103" i="10"/>
  <c r="J120" i="10"/>
  <c r="J170" i="10"/>
  <c r="J343" i="10"/>
  <c r="J425" i="10"/>
  <c r="J566" i="10"/>
  <c r="J129" i="10"/>
  <c r="G189" i="10"/>
  <c r="Q189" i="10" s="1"/>
  <c r="J191" i="10"/>
  <c r="R581" i="10"/>
  <c r="R580" i="10" s="1"/>
  <c r="R670" i="10" s="1"/>
  <c r="O81" i="5"/>
  <c r="O80" i="5" s="1"/>
  <c r="O79" i="5" s="1"/>
  <c r="J81" i="10"/>
  <c r="G294" i="10"/>
  <c r="Q294" i="10" s="1"/>
  <c r="J295" i="10"/>
  <c r="I319" i="10"/>
  <c r="I318" i="10" s="1"/>
  <c r="I317" i="10" s="1"/>
  <c r="J559" i="10"/>
  <c r="L649" i="10"/>
  <c r="M649" i="10" s="1"/>
  <c r="S26" i="5"/>
  <c r="S25" i="5" s="1"/>
  <c r="T57" i="5"/>
  <c r="C11" i="10"/>
  <c r="AS16" i="10"/>
  <c r="J16" i="10"/>
  <c r="J121" i="10"/>
  <c r="J135" i="10"/>
  <c r="J169" i="10"/>
  <c r="R220" i="10"/>
  <c r="J226" i="10"/>
  <c r="I257" i="10"/>
  <c r="I634" i="10" s="1"/>
  <c r="J333" i="10"/>
  <c r="P337" i="10"/>
  <c r="P336" i="10" s="1"/>
  <c r="P335" i="10" s="1"/>
  <c r="J368" i="10"/>
  <c r="R373" i="10"/>
  <c r="R385" i="10"/>
  <c r="M390" i="10"/>
  <c r="K426" i="10"/>
  <c r="J443" i="10"/>
  <c r="J453" i="10"/>
  <c r="H649" i="10"/>
  <c r="G652" i="10"/>
  <c r="Q652" i="10" s="1"/>
  <c r="I10" i="10"/>
  <c r="I627" i="10" s="1"/>
  <c r="J49" i="10"/>
  <c r="R90" i="10"/>
  <c r="G29" i="10"/>
  <c r="J30" i="10"/>
  <c r="J41" i="10"/>
  <c r="J53" i="10"/>
  <c r="J150" i="10"/>
  <c r="O233" i="10"/>
  <c r="J247" i="10"/>
  <c r="J386" i="10"/>
  <c r="J604" i="10"/>
  <c r="E282" i="10"/>
  <c r="K389" i="10"/>
  <c r="K409" i="10"/>
  <c r="AS18" i="10"/>
  <c r="J18" i="10"/>
  <c r="P72" i="10"/>
  <c r="P71" i="10" s="1"/>
  <c r="J91" i="10"/>
  <c r="J109" i="10"/>
  <c r="J130" i="10"/>
  <c r="J137" i="10"/>
  <c r="J154" i="10"/>
  <c r="G225" i="10"/>
  <c r="D319" i="10"/>
  <c r="D318" i="10" s="1"/>
  <c r="D317" i="10" s="1"/>
  <c r="P376" i="10"/>
  <c r="J405" i="10"/>
  <c r="K433" i="10"/>
  <c r="K432" i="10" s="1"/>
  <c r="J437" i="10"/>
  <c r="R462" i="10"/>
  <c r="J565" i="10"/>
  <c r="P652" i="10"/>
  <c r="G430" i="10"/>
  <c r="J558" i="10"/>
  <c r="AQ17" i="10"/>
  <c r="AS17" i="10" s="1"/>
  <c r="J17" i="10"/>
  <c r="J28" i="10"/>
  <c r="J60" i="10"/>
  <c r="J127" i="10"/>
  <c r="J216" i="10"/>
  <c r="J356" i="10"/>
  <c r="J21" i="10"/>
  <c r="R426" i="10"/>
  <c r="J107" i="10"/>
  <c r="J145" i="10"/>
  <c r="N139" i="10"/>
  <c r="J185" i="10"/>
  <c r="J187" i="10"/>
  <c r="L631" i="10"/>
  <c r="J231" i="10"/>
  <c r="J273" i="10"/>
  <c r="C329" i="10"/>
  <c r="E420" i="10"/>
  <c r="E419" i="10" s="1"/>
  <c r="J456" i="10"/>
  <c r="J458" i="10"/>
  <c r="J560" i="10"/>
  <c r="J584" i="10"/>
  <c r="J586" i="10"/>
  <c r="J588" i="10"/>
  <c r="J26" i="10"/>
  <c r="G61" i="10"/>
  <c r="J62" i="10"/>
  <c r="J442" i="10"/>
  <c r="AS23" i="10"/>
  <c r="J23" i="10"/>
  <c r="J92" i="10"/>
  <c r="J221" i="10"/>
  <c r="G252" i="10"/>
  <c r="J263" i="10"/>
  <c r="J600" i="10"/>
  <c r="J195" i="10"/>
  <c r="D649" i="10"/>
  <c r="V34" i="5"/>
  <c r="AS15" i="10"/>
  <c r="J15" i="10"/>
  <c r="J20" i="10"/>
  <c r="AS36" i="10"/>
  <c r="J36" i="10"/>
  <c r="J39" i="10"/>
  <c r="J45" i="10"/>
  <c r="D58" i="10"/>
  <c r="D46" i="10" s="1"/>
  <c r="D628" i="10" s="1"/>
  <c r="J84" i="10"/>
  <c r="E139" i="10"/>
  <c r="R166" i="10"/>
  <c r="G217" i="10"/>
  <c r="J218" i="10"/>
  <c r="J242" i="10"/>
  <c r="P637" i="10"/>
  <c r="M254" i="10"/>
  <c r="J267" i="10"/>
  <c r="R312" i="10"/>
  <c r="G361" i="10"/>
  <c r="M361" i="10"/>
  <c r="R396" i="10"/>
  <c r="R459" i="10"/>
  <c r="J592" i="10"/>
  <c r="M635" i="10"/>
  <c r="M651" i="10"/>
  <c r="F653" i="10"/>
  <c r="G658" i="10"/>
  <c r="J658" i="10" s="1"/>
  <c r="E38" i="5"/>
  <c r="H282" i="10"/>
  <c r="L319" i="10"/>
  <c r="L318" i="10" s="1"/>
  <c r="L317" i="10" s="1"/>
  <c r="M366" i="10"/>
  <c r="M385" i="10"/>
  <c r="D389" i="10"/>
  <c r="D399" i="10"/>
  <c r="O399" i="10"/>
  <c r="R400" i="10"/>
  <c r="H426" i="10"/>
  <c r="F426" i="10"/>
  <c r="L657" i="10"/>
  <c r="E649" i="10"/>
  <c r="G651" i="10"/>
  <c r="Q651" i="10" s="1"/>
  <c r="N649" i="10"/>
  <c r="M655" i="10"/>
  <c r="M659" i="10"/>
  <c r="V144" i="5"/>
  <c r="C118" i="10"/>
  <c r="M124" i="10"/>
  <c r="M123" i="10" s="1"/>
  <c r="C257" i="10"/>
  <c r="C634" i="10" s="1"/>
  <c r="H291" i="10"/>
  <c r="O308" i="10"/>
  <c r="O305" i="10" s="1"/>
  <c r="N657" i="10"/>
  <c r="H24" i="10"/>
  <c r="F153" i="10"/>
  <c r="E193" i="10"/>
  <c r="L193" i="10"/>
  <c r="P275" i="10"/>
  <c r="N282" i="10"/>
  <c r="E308" i="10"/>
  <c r="E305" i="10" s="1"/>
  <c r="N319" i="10"/>
  <c r="N318" i="10" s="1"/>
  <c r="N317" i="10" s="1"/>
  <c r="L389" i="10"/>
  <c r="I420" i="10"/>
  <c r="I419" i="10" s="1"/>
  <c r="P426" i="10"/>
  <c r="L433" i="10"/>
  <c r="L432" i="10" s="1"/>
  <c r="G655" i="10"/>
  <c r="Q655" i="10" s="1"/>
  <c r="F348" i="10"/>
  <c r="F347" i="10" s="1"/>
  <c r="P78" i="5"/>
  <c r="L11" i="10"/>
  <c r="M38" i="10"/>
  <c r="M37" i="10" s="1"/>
  <c r="R87" i="10"/>
  <c r="L86" i="10"/>
  <c r="L77" i="10" s="1"/>
  <c r="L76" i="10" s="1"/>
  <c r="M94" i="10"/>
  <c r="R104" i="10"/>
  <c r="I118" i="10"/>
  <c r="P155" i="10"/>
  <c r="G266" i="10"/>
  <c r="R271" i="10"/>
  <c r="R275" i="10"/>
  <c r="D282" i="10"/>
  <c r="O282" i="10"/>
  <c r="N291" i="10"/>
  <c r="F308" i="10"/>
  <c r="F305" i="10" s="1"/>
  <c r="G342" i="10"/>
  <c r="Q342" i="10" s="1"/>
  <c r="P349" i="10"/>
  <c r="M403" i="10"/>
  <c r="M399" i="10" s="1"/>
  <c r="F409" i="10"/>
  <c r="G412" i="10"/>
  <c r="K420" i="10"/>
  <c r="K419" i="10" s="1"/>
  <c r="C433" i="10"/>
  <c r="C432" i="10" s="1"/>
  <c r="R449" i="10"/>
  <c r="M459" i="10"/>
  <c r="R467" i="10"/>
  <c r="R663" i="10" s="1"/>
  <c r="P655" i="10"/>
  <c r="Q668" i="10"/>
  <c r="I433" i="10"/>
  <c r="I432" i="10" s="1"/>
  <c r="E58" i="10"/>
  <c r="E46" i="10" s="1"/>
  <c r="E628" i="10" s="1"/>
  <c r="T78" i="5"/>
  <c r="P38" i="10"/>
  <c r="P37" i="10" s="1"/>
  <c r="C86" i="10"/>
  <c r="G104" i="10"/>
  <c r="M104" i="10"/>
  <c r="P142" i="10"/>
  <c r="R199" i="10"/>
  <c r="L224" i="10"/>
  <c r="R249" i="10"/>
  <c r="H257" i="10"/>
  <c r="H634" i="10" s="1"/>
  <c r="K270" i="10"/>
  <c r="F282" i="10"/>
  <c r="M337" i="10"/>
  <c r="M336" i="10" s="1"/>
  <c r="M335" i="10" s="1"/>
  <c r="M342" i="10"/>
  <c r="M341" i="10" s="1"/>
  <c r="M340" i="10" s="1"/>
  <c r="R342" i="10"/>
  <c r="R341" i="10" s="1"/>
  <c r="R340" i="10" s="1"/>
  <c r="P393" i="10"/>
  <c r="P403" i="10"/>
  <c r="P399" i="10" s="1"/>
  <c r="H399" i="10"/>
  <c r="L426" i="10"/>
  <c r="H446" i="10"/>
  <c r="H445" i="10" s="1"/>
  <c r="H444" i="10" s="1"/>
  <c r="H657" i="10"/>
  <c r="F645" i="10"/>
  <c r="P647" i="10"/>
  <c r="O649" i="10"/>
  <c r="P649" i="10" s="1"/>
  <c r="H653" i="10"/>
  <c r="G656" i="10"/>
  <c r="G660" i="10"/>
  <c r="J660" i="10" s="1"/>
  <c r="H37" i="5"/>
  <c r="D11" i="10"/>
  <c r="L24" i="10"/>
  <c r="R80" i="10"/>
  <c r="R79" i="10" s="1"/>
  <c r="R78" i="10" s="1"/>
  <c r="P87" i="10"/>
  <c r="D86" i="10"/>
  <c r="D77" i="10" s="1"/>
  <c r="D76" i="10" s="1"/>
  <c r="P104" i="10"/>
  <c r="R147" i="10"/>
  <c r="M189" i="10"/>
  <c r="M188" i="10" s="1"/>
  <c r="R194" i="10"/>
  <c r="M220" i="10"/>
  <c r="M632" i="10"/>
  <c r="I308" i="10"/>
  <c r="I305" i="10" s="1"/>
  <c r="P309" i="10"/>
  <c r="P308" i="10" s="1"/>
  <c r="P305" i="10" s="1"/>
  <c r="G326" i="10"/>
  <c r="D329" i="10"/>
  <c r="O329" i="10"/>
  <c r="G373" i="10"/>
  <c r="M396" i="10"/>
  <c r="R403" i="10"/>
  <c r="R399" i="10" s="1"/>
  <c r="M654" i="10"/>
  <c r="M658" i="10"/>
  <c r="P660" i="10"/>
  <c r="G37" i="5"/>
  <c r="R12" i="10"/>
  <c r="R11" i="10" s="1"/>
  <c r="S70" i="5"/>
  <c r="R116" i="5"/>
  <c r="R115" i="5" s="1"/>
  <c r="R114" i="5" s="1"/>
  <c r="R113" i="5" s="1"/>
  <c r="V99" i="5"/>
  <c r="C24" i="10"/>
  <c r="L58" i="10"/>
  <c r="L46" i="10" s="1"/>
  <c r="L628" i="10" s="1"/>
  <c r="R172" i="10"/>
  <c r="K193" i="10"/>
  <c r="M199" i="10"/>
  <c r="R202" i="10"/>
  <c r="I233" i="10"/>
  <c r="P249" i="10"/>
  <c r="D291" i="10"/>
  <c r="R357" i="10"/>
  <c r="P361" i="10"/>
  <c r="M370" i="10"/>
  <c r="P396" i="10"/>
  <c r="R412" i="10"/>
  <c r="R409" i="10" s="1"/>
  <c r="D433" i="10"/>
  <c r="D432" i="10" s="1"/>
  <c r="C446" i="10"/>
  <c r="C445" i="10" s="1"/>
  <c r="C444" i="10" s="1"/>
  <c r="M455" i="10"/>
  <c r="M652" i="10"/>
  <c r="I653" i="10"/>
  <c r="M653" i="10" s="1"/>
  <c r="P656" i="10"/>
  <c r="G33" i="10"/>
  <c r="N24" i="10"/>
  <c r="AQ24" i="10" s="1"/>
  <c r="F118" i="10"/>
  <c r="G264" i="10"/>
  <c r="E118" i="10"/>
  <c r="W53" i="5"/>
  <c r="W122" i="5"/>
  <c r="D24" i="10"/>
  <c r="G35" i="10"/>
  <c r="N37" i="10"/>
  <c r="AQ37" i="10" s="1"/>
  <c r="R38" i="10"/>
  <c r="R37" i="10" s="1"/>
  <c r="G87" i="10"/>
  <c r="P97" i="10"/>
  <c r="H118" i="10"/>
  <c r="G142" i="10"/>
  <c r="E153" i="10"/>
  <c r="P189" i="10"/>
  <c r="P188" i="10" s="1"/>
  <c r="G315" i="10"/>
  <c r="C639" i="10"/>
  <c r="C208" i="10"/>
  <c r="S92" i="5"/>
  <c r="AS34" i="10"/>
  <c r="R48" i="10"/>
  <c r="R47" i="10" s="1"/>
  <c r="K58" i="10"/>
  <c r="K46" i="10" s="1"/>
  <c r="K628" i="10" s="1"/>
  <c r="M72" i="10"/>
  <c r="M71" i="10" s="1"/>
  <c r="P94" i="10"/>
  <c r="G172" i="10"/>
  <c r="K318" i="10"/>
  <c r="K317" i="10" s="1"/>
  <c r="G147" i="10"/>
  <c r="R63" i="5"/>
  <c r="U76" i="5"/>
  <c r="U75" i="5" s="1"/>
  <c r="O11" i="10"/>
  <c r="F24" i="10"/>
  <c r="F10" i="10" s="1"/>
  <c r="AQ25" i="10"/>
  <c r="O24" i="10"/>
  <c r="M80" i="10"/>
  <c r="M79" i="10" s="1"/>
  <c r="M78" i="10" s="1"/>
  <c r="O86" i="10"/>
  <c r="O77" i="10" s="1"/>
  <c r="O76" i="10" s="1"/>
  <c r="E86" i="10"/>
  <c r="K118" i="10"/>
  <c r="R209" i="10"/>
  <c r="R639" i="10" s="1"/>
  <c r="F641" i="10"/>
  <c r="F224" i="10"/>
  <c r="G278" i="10"/>
  <c r="K291" i="10"/>
  <c r="M309" i="10"/>
  <c r="P26" i="5"/>
  <c r="P25" i="5" s="1"/>
  <c r="P20" i="5" s="1"/>
  <c r="T50" i="5"/>
  <c r="R70" i="5"/>
  <c r="W102" i="5"/>
  <c r="W110" i="5"/>
  <c r="G31" i="10"/>
  <c r="M48" i="10"/>
  <c r="M47" i="10" s="1"/>
  <c r="M97" i="10"/>
  <c r="H139" i="10"/>
  <c r="R142" i="10"/>
  <c r="R139" i="10" s="1"/>
  <c r="M147" i="10"/>
  <c r="P166" i="10"/>
  <c r="M194" i="10"/>
  <c r="G199" i="10"/>
  <c r="R331" i="10"/>
  <c r="R330" i="10" s="1"/>
  <c r="G421" i="10"/>
  <c r="W35" i="5"/>
  <c r="W66" i="5"/>
  <c r="M12" i="10"/>
  <c r="M11" i="10" s="1"/>
  <c r="M24" i="10"/>
  <c r="G27" i="10"/>
  <c r="C77" i="10"/>
  <c r="C76" i="10" s="1"/>
  <c r="G94" i="10"/>
  <c r="G119" i="10"/>
  <c r="P172" i="10"/>
  <c r="E636" i="10"/>
  <c r="G636" i="10" s="1"/>
  <c r="E224" i="10"/>
  <c r="I638" i="10"/>
  <c r="G249" i="10"/>
  <c r="H348" i="10"/>
  <c r="H347" i="10" s="1"/>
  <c r="R51" i="5"/>
  <c r="W51" i="5" s="1"/>
  <c r="W59" i="5"/>
  <c r="R68" i="5"/>
  <c r="W68" i="5" s="1"/>
  <c r="W103" i="5"/>
  <c r="W107" i="5"/>
  <c r="H11" i="10"/>
  <c r="H10" i="10" s="1"/>
  <c r="H627" i="10" s="1"/>
  <c r="H626" i="10" s="1"/>
  <c r="P12" i="10"/>
  <c r="P11" i="10" s="1"/>
  <c r="AS19" i="10"/>
  <c r="K24" i="10"/>
  <c r="K10" i="10" s="1"/>
  <c r="K627" i="10" s="1"/>
  <c r="P24" i="10"/>
  <c r="R97" i="10"/>
  <c r="O118" i="10"/>
  <c r="G178" i="10"/>
  <c r="G202" i="10"/>
  <c r="O208" i="10"/>
  <c r="I640" i="10"/>
  <c r="N638" i="10"/>
  <c r="G241" i="10"/>
  <c r="G309" i="10"/>
  <c r="H308" i="10"/>
  <c r="H305" i="10" s="1"/>
  <c r="G324" i="10"/>
  <c r="N58" i="10"/>
  <c r="N46" i="10" s="1"/>
  <c r="N628" i="10" s="1"/>
  <c r="G69" i="10"/>
  <c r="R72" i="10"/>
  <c r="R71" i="10" s="1"/>
  <c r="P80" i="10"/>
  <c r="P79" i="10" s="1"/>
  <c r="P78" i="10" s="1"/>
  <c r="I86" i="10"/>
  <c r="I77" i="10" s="1"/>
  <c r="I76" i="10" s="1"/>
  <c r="P90" i="10"/>
  <c r="H86" i="10"/>
  <c r="H77" i="10" s="1"/>
  <c r="H76" i="10" s="1"/>
  <c r="L118" i="10"/>
  <c r="P133" i="10"/>
  <c r="C139" i="10"/>
  <c r="L139" i="10"/>
  <c r="L153" i="10"/>
  <c r="F631" i="10"/>
  <c r="R227" i="10"/>
  <c r="R636" i="10" s="1"/>
  <c r="P229" i="10"/>
  <c r="P227" i="10" s="1"/>
  <c r="P224" i="10" s="1"/>
  <c r="E233" i="10"/>
  <c r="E638" i="10" s="1"/>
  <c r="P632" i="10"/>
  <c r="G280" i="10"/>
  <c r="O291" i="10"/>
  <c r="C291" i="10"/>
  <c r="C643" i="10" s="1"/>
  <c r="F319" i="10"/>
  <c r="F318" i="10" s="1"/>
  <c r="F317" i="10" s="1"/>
  <c r="M389" i="10"/>
  <c r="D426" i="10"/>
  <c r="M462" i="10"/>
  <c r="P646" i="10"/>
  <c r="O645" i="10"/>
  <c r="P48" i="10"/>
  <c r="P47" i="10" s="1"/>
  <c r="H58" i="10"/>
  <c r="H46" i="10" s="1"/>
  <c r="H628" i="10" s="1"/>
  <c r="F58" i="10"/>
  <c r="F46" i="10" s="1"/>
  <c r="F628" i="10" s="1"/>
  <c r="O58" i="10"/>
  <c r="O46" i="10" s="1"/>
  <c r="O628" i="10" s="1"/>
  <c r="G72" i="10"/>
  <c r="Q72" i="10" s="1"/>
  <c r="K86" i="10"/>
  <c r="K77" i="10" s="1"/>
  <c r="K76" i="10" s="1"/>
  <c r="D118" i="10"/>
  <c r="R124" i="10"/>
  <c r="R123" i="10" s="1"/>
  <c r="R118" i="10" s="1"/>
  <c r="N118" i="10"/>
  <c r="R133" i="10"/>
  <c r="D139" i="10"/>
  <c r="P147" i="10"/>
  <c r="M172" i="10"/>
  <c r="H631" i="10"/>
  <c r="M229" i="10"/>
  <c r="M227" i="10" s="1"/>
  <c r="M224" i="10" s="1"/>
  <c r="M223" i="10" s="1"/>
  <c r="L223" i="10"/>
  <c r="D243" i="10"/>
  <c r="E291" i="10"/>
  <c r="L329" i="10"/>
  <c r="M373" i="10"/>
  <c r="H433" i="10"/>
  <c r="H432" i="10" s="1"/>
  <c r="R654" i="10"/>
  <c r="R653" i="10" s="1"/>
  <c r="M661" i="10"/>
  <c r="I58" i="10"/>
  <c r="I46" i="10" s="1"/>
  <c r="I628" i="10" s="1"/>
  <c r="C58" i="10"/>
  <c r="C46" i="10" s="1"/>
  <c r="M90" i="10"/>
  <c r="F139" i="10"/>
  <c r="N153" i="10"/>
  <c r="P199" i="10"/>
  <c r="G244" i="10"/>
  <c r="P243" i="10"/>
  <c r="P634" i="10"/>
  <c r="K642" i="10"/>
  <c r="I282" i="10"/>
  <c r="O318" i="10"/>
  <c r="O317" i="10" s="1"/>
  <c r="H389" i="10"/>
  <c r="G449" i="10"/>
  <c r="I645" i="10"/>
  <c r="D153" i="10"/>
  <c r="M155" i="10"/>
  <c r="M162" i="10"/>
  <c r="R162" i="10"/>
  <c r="M166" i="10"/>
  <c r="M183" i="10"/>
  <c r="M209" i="10"/>
  <c r="M208" i="10" s="1"/>
  <c r="K640" i="10"/>
  <c r="P220" i="10"/>
  <c r="M243" i="10"/>
  <c r="K257" i="10"/>
  <c r="K634" i="10" s="1"/>
  <c r="N329" i="10"/>
  <c r="R349" i="10"/>
  <c r="N409" i="10"/>
  <c r="D409" i="10"/>
  <c r="O420" i="10"/>
  <c r="O419" i="10" s="1"/>
  <c r="M119" i="10"/>
  <c r="P124" i="10"/>
  <c r="P123" i="10" s="1"/>
  <c r="M133" i="10"/>
  <c r="G162" i="10"/>
  <c r="P162" i="10"/>
  <c r="R178" i="10"/>
  <c r="R183" i="10"/>
  <c r="I193" i="10"/>
  <c r="P194" i="10"/>
  <c r="O193" i="10"/>
  <c r="P209" i="10"/>
  <c r="C640" i="10"/>
  <c r="E208" i="10"/>
  <c r="D631" i="10"/>
  <c r="O638" i="10"/>
  <c r="G248" i="10"/>
  <c r="Q248" i="10" s="1"/>
  <c r="G637" i="10"/>
  <c r="D258" i="10"/>
  <c r="D257" i="10" s="1"/>
  <c r="D634" i="10" s="1"/>
  <c r="M271" i="10"/>
  <c r="P633" i="10"/>
  <c r="L291" i="10"/>
  <c r="M357" i="10"/>
  <c r="D348" i="10"/>
  <c r="D347" i="10" s="1"/>
  <c r="G379" i="10"/>
  <c r="H409" i="10"/>
  <c r="G462" i="10"/>
  <c r="P581" i="10"/>
  <c r="P580" i="10" s="1"/>
  <c r="R243" i="10"/>
  <c r="L270" i="10"/>
  <c r="M275" i="10"/>
  <c r="L282" i="10"/>
  <c r="M312" i="10"/>
  <c r="E319" i="10"/>
  <c r="E318" i="10" s="1"/>
  <c r="E317" i="10" s="1"/>
  <c r="M326" i="10"/>
  <c r="E329" i="10"/>
  <c r="P331" i="10"/>
  <c r="P330" i="10" s="1"/>
  <c r="P342" i="10"/>
  <c r="P341" i="10" s="1"/>
  <c r="P340" i="10" s="1"/>
  <c r="F389" i="10"/>
  <c r="O389" i="10"/>
  <c r="C399" i="10"/>
  <c r="E409" i="10"/>
  <c r="O409" i="10"/>
  <c r="H420" i="10"/>
  <c r="H419" i="10" s="1"/>
  <c r="E426" i="10"/>
  <c r="O426" i="10"/>
  <c r="O433" i="10"/>
  <c r="O432" i="10" s="1"/>
  <c r="G647" i="10"/>
  <c r="P654" i="10"/>
  <c r="I657" i="10"/>
  <c r="R455" i="10"/>
  <c r="P459" i="10"/>
  <c r="P462" i="10"/>
  <c r="M648" i="10"/>
  <c r="M331" i="10"/>
  <c r="M330" i="10" s="1"/>
  <c r="F329" i="10"/>
  <c r="P357" i="10"/>
  <c r="P373" i="10"/>
  <c r="M376" i="10"/>
  <c r="E399" i="10"/>
  <c r="N433" i="10"/>
  <c r="N432" i="10" s="1"/>
  <c r="I446" i="10"/>
  <c r="I445" i="10" s="1"/>
  <c r="I444" i="10" s="1"/>
  <c r="K446" i="10"/>
  <c r="K445" i="10" s="1"/>
  <c r="K444" i="10" s="1"/>
  <c r="P469" i="10"/>
  <c r="E270" i="10"/>
  <c r="P271" i="10"/>
  <c r="N270" i="10"/>
  <c r="C308" i="10"/>
  <c r="C305" i="10" s="1"/>
  <c r="P320" i="10"/>
  <c r="P319" i="10" s="1"/>
  <c r="H329" i="10"/>
  <c r="K348" i="10"/>
  <c r="K347" i="10" s="1"/>
  <c r="R353" i="10"/>
  <c r="G381" i="10"/>
  <c r="G385" i="10"/>
  <c r="I389" i="10"/>
  <c r="M421" i="10"/>
  <c r="M420" i="10" s="1"/>
  <c r="M419" i="10" s="1"/>
  <c r="M449" i="10"/>
  <c r="P635" i="10"/>
  <c r="G648" i="10"/>
  <c r="J648" i="10" s="1"/>
  <c r="P648" i="10"/>
  <c r="K649" i="10"/>
  <c r="M637" i="10"/>
  <c r="F257" i="10"/>
  <c r="F634" i="10" s="1"/>
  <c r="R258" i="10"/>
  <c r="R257" i="10" s="1"/>
  <c r="R634" i="10" s="1"/>
  <c r="O270" i="10"/>
  <c r="M282" i="10"/>
  <c r="G289" i="10"/>
  <c r="Q289" i="10" s="1"/>
  <c r="R291" i="10"/>
  <c r="L308" i="10"/>
  <c r="L305" i="10" s="1"/>
  <c r="P326" i="10"/>
  <c r="K329" i="10"/>
  <c r="I329" i="10"/>
  <c r="P366" i="10"/>
  <c r="P381" i="10"/>
  <c r="M381" i="10"/>
  <c r="E389" i="10"/>
  <c r="P421" i="10"/>
  <c r="P420" i="10" s="1"/>
  <c r="P419" i="10" s="1"/>
  <c r="C420" i="10"/>
  <c r="C419" i="10" s="1"/>
  <c r="R420" i="10"/>
  <c r="R419" i="10" s="1"/>
  <c r="M426" i="10"/>
  <c r="P435" i="10"/>
  <c r="P434" i="10" s="1"/>
  <c r="P433" i="10" s="1"/>
  <c r="P432" i="10" s="1"/>
  <c r="G441" i="10"/>
  <c r="Q441" i="10" s="1"/>
  <c r="F446" i="10"/>
  <c r="F445" i="10" s="1"/>
  <c r="F444" i="10" s="1"/>
  <c r="N446" i="10"/>
  <c r="N445" i="10" s="1"/>
  <c r="N444" i="10" s="1"/>
  <c r="K657" i="10"/>
  <c r="R469" i="10"/>
  <c r="R669" i="10" s="1"/>
  <c r="M581" i="10"/>
  <c r="M580" i="10" s="1"/>
  <c r="G659" i="10"/>
  <c r="Q659" i="10" s="1"/>
  <c r="M258" i="10"/>
  <c r="M257" i="10" s="1"/>
  <c r="R320" i="10"/>
  <c r="R319" i="10" s="1"/>
  <c r="R337" i="10"/>
  <c r="R336" i="10" s="1"/>
  <c r="R335" i="10" s="1"/>
  <c r="R370" i="10"/>
  <c r="L409" i="10"/>
  <c r="C409" i="10"/>
  <c r="C426" i="10"/>
  <c r="M452" i="10"/>
  <c r="L645" i="10"/>
  <c r="G650" i="10"/>
  <c r="Q650" i="10" s="1"/>
  <c r="O653" i="10"/>
  <c r="P659" i="10"/>
  <c r="G646" i="10"/>
  <c r="P650" i="10"/>
  <c r="G654" i="10"/>
  <c r="I56" i="5"/>
  <c r="I37" i="5" s="1"/>
  <c r="H91" i="5"/>
  <c r="I91" i="5"/>
  <c r="D37" i="5"/>
  <c r="R58" i="10"/>
  <c r="P58" i="10"/>
  <c r="AQ21" i="10"/>
  <c r="AS21" i="10" s="1"/>
  <c r="AS28" i="10"/>
  <c r="R24" i="10"/>
  <c r="N636" i="10"/>
  <c r="N224" i="10"/>
  <c r="N223" i="10" s="1"/>
  <c r="G12" i="10"/>
  <c r="AQ20" i="10"/>
  <c r="AS20" i="10" s="1"/>
  <c r="AS26" i="10"/>
  <c r="L10" i="10"/>
  <c r="G114" i="10"/>
  <c r="Q114" i="10" s="1"/>
  <c r="O636" i="10"/>
  <c r="O224" i="10"/>
  <c r="G22" i="10"/>
  <c r="E114" i="10"/>
  <c r="E113" i="10" s="1"/>
  <c r="E111" i="10" s="1"/>
  <c r="E110" i="10" s="1"/>
  <c r="P119" i="10"/>
  <c r="G124" i="10"/>
  <c r="Q124" i="10" s="1"/>
  <c r="G155" i="10"/>
  <c r="P183" i="10"/>
  <c r="C193" i="10"/>
  <c r="L638" i="10"/>
  <c r="H233" i="10"/>
  <c r="H638" i="10" s="1"/>
  <c r="G238" i="10"/>
  <c r="G38" i="10"/>
  <c r="Q38" i="10" s="1"/>
  <c r="G59" i="10"/>
  <c r="G67" i="10"/>
  <c r="G80" i="10"/>
  <c r="Q80" i="10" s="1"/>
  <c r="G97" i="10"/>
  <c r="G102" i="10"/>
  <c r="G108" i="10"/>
  <c r="G131" i="10"/>
  <c r="O139" i="10"/>
  <c r="H153" i="10"/>
  <c r="H117" i="10" s="1"/>
  <c r="R641" i="10"/>
  <c r="G254" i="10"/>
  <c r="G25" i="10"/>
  <c r="N193" i="10"/>
  <c r="M202" i="10"/>
  <c r="N240" i="10"/>
  <c r="G48" i="10"/>
  <c r="Q48" i="10" s="1"/>
  <c r="G65" i="10"/>
  <c r="G90" i="10"/>
  <c r="K153" i="10"/>
  <c r="G183" i="10"/>
  <c r="F193" i="10"/>
  <c r="N640" i="10"/>
  <c r="N208" i="10"/>
  <c r="H636" i="10"/>
  <c r="H224" i="10"/>
  <c r="G301" i="10"/>
  <c r="Q301" i="10" s="1"/>
  <c r="E12" i="10"/>
  <c r="E11" i="10" s="1"/>
  <c r="E10" i="10" s="1"/>
  <c r="M142" i="10"/>
  <c r="C153" i="10"/>
  <c r="P178" i="10"/>
  <c r="F640" i="10"/>
  <c r="F208" i="10"/>
  <c r="D641" i="10"/>
  <c r="D224" i="10"/>
  <c r="D223" i="10" s="1"/>
  <c r="I636" i="10"/>
  <c r="M636" i="10" s="1"/>
  <c r="I224" i="10"/>
  <c r="I223" i="10" s="1"/>
  <c r="I240" i="10"/>
  <c r="C642" i="10"/>
  <c r="C270" i="10"/>
  <c r="F291" i="10"/>
  <c r="R155" i="10"/>
  <c r="G271" i="10"/>
  <c r="P111" i="10"/>
  <c r="P110" i="10" s="1"/>
  <c r="O153" i="10"/>
  <c r="G194" i="10"/>
  <c r="Q194" i="10" s="1"/>
  <c r="I639" i="10"/>
  <c r="M639" i="10" s="1"/>
  <c r="I208" i="10"/>
  <c r="G133" i="10"/>
  <c r="G140" i="10"/>
  <c r="G166" i="10"/>
  <c r="L640" i="10"/>
  <c r="L208" i="10"/>
  <c r="L257" i="10"/>
  <c r="L634" i="10" s="1"/>
  <c r="M634" i="10" s="1"/>
  <c r="G337" i="10"/>
  <c r="Q337" i="10" s="1"/>
  <c r="G353" i="10"/>
  <c r="G258" i="10"/>
  <c r="Q258" i="10" s="1"/>
  <c r="K282" i="10"/>
  <c r="K643" i="10" s="1"/>
  <c r="G306" i="10"/>
  <c r="O240" i="10"/>
  <c r="H642" i="10"/>
  <c r="H270" i="10"/>
  <c r="I291" i="10"/>
  <c r="P202" i="10"/>
  <c r="H640" i="10"/>
  <c r="H208" i="10"/>
  <c r="R233" i="10"/>
  <c r="R638" i="10" s="1"/>
  <c r="R632" i="10"/>
  <c r="G275" i="10"/>
  <c r="P291" i="10"/>
  <c r="G212" i="10"/>
  <c r="Q212" i="10" s="1"/>
  <c r="D209" i="10"/>
  <c r="R282" i="10"/>
  <c r="R643" i="10" s="1"/>
  <c r="M291" i="10"/>
  <c r="G390" i="10"/>
  <c r="J637" i="10"/>
  <c r="Q637" i="10"/>
  <c r="G632" i="10"/>
  <c r="R635" i="10"/>
  <c r="G312" i="10"/>
  <c r="C631" i="10"/>
  <c r="K631" i="10"/>
  <c r="P641" i="10"/>
  <c r="P258" i="10"/>
  <c r="P257" i="10" s="1"/>
  <c r="G285" i="10"/>
  <c r="Q285" i="10" s="1"/>
  <c r="C348" i="10"/>
  <c r="C347" i="10" s="1"/>
  <c r="I348" i="10"/>
  <c r="I347" i="10" s="1"/>
  <c r="G357" i="10"/>
  <c r="G435" i="10"/>
  <c r="Q435" i="10" s="1"/>
  <c r="E642" i="10"/>
  <c r="G298" i="10"/>
  <c r="Q298" i="10" s="1"/>
  <c r="E640" i="10"/>
  <c r="E631" i="10"/>
  <c r="M641" i="10"/>
  <c r="C638" i="10"/>
  <c r="G269" i="10"/>
  <c r="F270" i="10"/>
  <c r="M320" i="10"/>
  <c r="M319" i="10" s="1"/>
  <c r="C389" i="10"/>
  <c r="G410" i="10"/>
  <c r="G370" i="10"/>
  <c r="G661" i="10"/>
  <c r="C657" i="10"/>
  <c r="G214" i="10"/>
  <c r="O640" i="10"/>
  <c r="G220" i="10"/>
  <c r="O631" i="10"/>
  <c r="C224" i="10"/>
  <c r="C223" i="10" s="1"/>
  <c r="K224" i="10"/>
  <c r="G229" i="10"/>
  <c r="Q229" i="10" s="1"/>
  <c r="G236" i="10"/>
  <c r="Q236" i="10" s="1"/>
  <c r="I642" i="10"/>
  <c r="I270" i="10"/>
  <c r="G633" i="10"/>
  <c r="G320" i="10"/>
  <c r="Q320" i="10" s="1"/>
  <c r="R326" i="10"/>
  <c r="G331" i="10"/>
  <c r="Q331" i="10" s="1"/>
  <c r="G396" i="10"/>
  <c r="R659" i="10"/>
  <c r="R452" i="10"/>
  <c r="O348" i="10"/>
  <c r="O347" i="10" s="1"/>
  <c r="P449" i="10"/>
  <c r="D642" i="10"/>
  <c r="L642" i="10"/>
  <c r="R646" i="10"/>
  <c r="G364" i="10"/>
  <c r="G376" i="10"/>
  <c r="G415" i="10"/>
  <c r="M435" i="10"/>
  <c r="M434" i="10" s="1"/>
  <c r="M433" i="10" s="1"/>
  <c r="M432" i="10" s="1"/>
  <c r="L446" i="10"/>
  <c r="L445" i="10" s="1"/>
  <c r="L444" i="10" s="1"/>
  <c r="G349" i="10"/>
  <c r="M353" i="10"/>
  <c r="G366" i="10"/>
  <c r="G417" i="10"/>
  <c r="D446" i="10"/>
  <c r="D445" i="10" s="1"/>
  <c r="D444" i="10" s="1"/>
  <c r="F642" i="10"/>
  <c r="N642" i="10"/>
  <c r="R648" i="10"/>
  <c r="R647" i="10"/>
  <c r="G403" i="10"/>
  <c r="G428" i="10"/>
  <c r="Q428" i="10" s="1"/>
  <c r="E446" i="10"/>
  <c r="E445" i="10" s="1"/>
  <c r="E444" i="10" s="1"/>
  <c r="O642" i="10"/>
  <c r="N348" i="10"/>
  <c r="N347" i="10" s="1"/>
  <c r="L348" i="10"/>
  <c r="L347" i="10" s="1"/>
  <c r="R381" i="10"/>
  <c r="G400" i="10"/>
  <c r="P412" i="10"/>
  <c r="P409" i="10" s="1"/>
  <c r="O446" i="10"/>
  <c r="O445" i="10" s="1"/>
  <c r="O444" i="10" s="1"/>
  <c r="P455" i="10"/>
  <c r="K399" i="10"/>
  <c r="G447" i="10"/>
  <c r="G459" i="10"/>
  <c r="G470" i="10"/>
  <c r="Q470" i="10" s="1"/>
  <c r="J647" i="10"/>
  <c r="Q647" i="10"/>
  <c r="G407" i="10"/>
  <c r="G467" i="10"/>
  <c r="Q467" i="10" s="1"/>
  <c r="P670" i="10"/>
  <c r="R652" i="10"/>
  <c r="R660" i="10"/>
  <c r="F662" i="10"/>
  <c r="G669" i="10"/>
  <c r="O662" i="10"/>
  <c r="P669" i="10"/>
  <c r="P662" i="10" s="1"/>
  <c r="M646" i="10"/>
  <c r="J652" i="10"/>
  <c r="P658" i="10"/>
  <c r="R651" i="10"/>
  <c r="R435" i="10"/>
  <c r="R434" i="10" s="1"/>
  <c r="R433" i="10" s="1"/>
  <c r="R432" i="10" s="1"/>
  <c r="M670" i="10"/>
  <c r="G645" i="10"/>
  <c r="P661" i="10"/>
  <c r="O657" i="10"/>
  <c r="M669" i="10"/>
  <c r="M662" i="10" s="1"/>
  <c r="M647" i="10"/>
  <c r="C649" i="10"/>
  <c r="Q664" i="10"/>
  <c r="J664" i="10"/>
  <c r="R650" i="10"/>
  <c r="R658" i="10"/>
  <c r="G581" i="10"/>
  <c r="Q581" i="10" s="1"/>
  <c r="J646" i="10"/>
  <c r="Q646" i="10"/>
  <c r="Q667" i="10"/>
  <c r="J667" i="10"/>
  <c r="G670" i="10"/>
  <c r="G424" i="10"/>
  <c r="G452" i="10"/>
  <c r="G635" i="10"/>
  <c r="J650" i="10"/>
  <c r="Q665" i="10"/>
  <c r="J663" i="10"/>
  <c r="J666" i="10"/>
  <c r="V88" i="5"/>
  <c r="W88" i="5"/>
  <c r="O27" i="5"/>
  <c r="O26" i="5" s="1"/>
  <c r="O25" i="5" s="1"/>
  <c r="O20" i="5" s="1"/>
  <c r="W29" i="5"/>
  <c r="V55" i="5"/>
  <c r="V54" i="5" s="1"/>
  <c r="U58" i="5"/>
  <c r="Q57" i="5"/>
  <c r="V103" i="5"/>
  <c r="W111" i="5"/>
  <c r="W149" i="5"/>
  <c r="W74" i="5"/>
  <c r="V127" i="5"/>
  <c r="V126" i="5" s="1"/>
  <c r="V125" i="5" s="1"/>
  <c r="V124" i="5" s="1"/>
  <c r="P39" i="5"/>
  <c r="R54" i="5"/>
  <c r="W54" i="5" s="1"/>
  <c r="T70" i="5"/>
  <c r="T56" i="5" s="1"/>
  <c r="W89" i="5"/>
  <c r="W145" i="5"/>
  <c r="V101" i="5"/>
  <c r="Q39" i="5"/>
  <c r="Q38" i="5" s="1"/>
  <c r="W46" i="5"/>
  <c r="O70" i="5"/>
  <c r="V132" i="5"/>
  <c r="V131" i="5" s="1"/>
  <c r="V130" i="5" s="1"/>
  <c r="V129" i="5" s="1"/>
  <c r="V128" i="5" s="1"/>
  <c r="W45" i="5"/>
  <c r="W33" i="5"/>
  <c r="U63" i="5"/>
  <c r="W63" i="5" s="1"/>
  <c r="V69" i="5"/>
  <c r="V68" i="5" s="1"/>
  <c r="V67" i="5" s="1"/>
  <c r="P70" i="5"/>
  <c r="V90" i="5"/>
  <c r="W99" i="5"/>
  <c r="W105" i="5"/>
  <c r="R126" i="5"/>
  <c r="R125" i="5" s="1"/>
  <c r="R124" i="5" s="1"/>
  <c r="R123" i="5" s="1"/>
  <c r="O123" i="5"/>
  <c r="W132" i="5"/>
  <c r="W28" i="5"/>
  <c r="U44" i="5"/>
  <c r="U39" i="5" s="1"/>
  <c r="V122" i="5"/>
  <c r="V121" i="5" s="1"/>
  <c r="V120" i="5" s="1"/>
  <c r="V119" i="5" s="1"/>
  <c r="V118" i="5" s="1"/>
  <c r="S123" i="5"/>
  <c r="S91" i="5" s="1"/>
  <c r="V148" i="5"/>
  <c r="Q78" i="5"/>
  <c r="S78" i="5"/>
  <c r="W36" i="5"/>
  <c r="O57" i="5"/>
  <c r="W18" i="5"/>
  <c r="W30" i="5"/>
  <c r="R44" i="5"/>
  <c r="V59" i="5"/>
  <c r="W64" i="5"/>
  <c r="Q70" i="5"/>
  <c r="O85" i="5"/>
  <c r="O84" i="5" s="1"/>
  <c r="O83" i="5" s="1"/>
  <c r="O78" i="5" s="1"/>
  <c r="V102" i="5"/>
  <c r="W112" i="5"/>
  <c r="U125" i="5"/>
  <c r="U124" i="5" s="1"/>
  <c r="W143" i="5"/>
  <c r="V150" i="5"/>
  <c r="W31" i="5"/>
  <c r="T44" i="5"/>
  <c r="T39" i="5" s="1"/>
  <c r="P57" i="5"/>
  <c r="V60" i="5"/>
  <c r="V65" i="5"/>
  <c r="W108" i="5"/>
  <c r="P136" i="5"/>
  <c r="P135" i="5" s="1"/>
  <c r="P134" i="5" s="1"/>
  <c r="P133" i="5" s="1"/>
  <c r="V74" i="5"/>
  <c r="V73" i="5" s="1"/>
  <c r="W101" i="5"/>
  <c r="V31" i="5"/>
  <c r="O39" i="5"/>
  <c r="O38" i="5" s="1"/>
  <c r="V46" i="5"/>
  <c r="W61" i="5"/>
  <c r="S57" i="5"/>
  <c r="P92" i="5"/>
  <c r="V100" i="5"/>
  <c r="V106" i="5"/>
  <c r="W109" i="5"/>
  <c r="W117" i="5"/>
  <c r="Q123" i="5"/>
  <c r="R136" i="5"/>
  <c r="R135" i="5" s="1"/>
  <c r="R134" i="5" s="1"/>
  <c r="R133" i="5" s="1"/>
  <c r="W133" i="5" s="1"/>
  <c r="R142" i="5"/>
  <c r="R141" i="5" s="1"/>
  <c r="R140" i="5" s="1"/>
  <c r="R139" i="5" s="1"/>
  <c r="R138" i="5" s="1"/>
  <c r="S20" i="5"/>
  <c r="S39" i="5"/>
  <c r="U73" i="5"/>
  <c r="W73" i="5" s="1"/>
  <c r="S50" i="5"/>
  <c r="V62" i="5"/>
  <c r="V66" i="5"/>
  <c r="T123" i="5"/>
  <c r="R97" i="5"/>
  <c r="R96" i="5" s="1"/>
  <c r="R95" i="5" s="1"/>
  <c r="R94" i="5" s="1"/>
  <c r="R93" i="5" s="1"/>
  <c r="W23" i="5"/>
  <c r="U22" i="5"/>
  <c r="Q92" i="5"/>
  <c r="U114" i="5"/>
  <c r="W19" i="5"/>
  <c r="R27" i="5"/>
  <c r="T32" i="5"/>
  <c r="T26" i="5" s="1"/>
  <c r="T25" i="5" s="1"/>
  <c r="T20" i="5" s="1"/>
  <c r="R58" i="5"/>
  <c r="U32" i="5"/>
  <c r="W60" i="5"/>
  <c r="V64" i="5"/>
  <c r="U72" i="5"/>
  <c r="V82" i="5"/>
  <c r="V81" i="5" s="1"/>
  <c r="V80" i="5" s="1"/>
  <c r="V79" i="5" s="1"/>
  <c r="R81" i="5"/>
  <c r="R80" i="5" s="1"/>
  <c r="R79" i="5" s="1"/>
  <c r="W106" i="5"/>
  <c r="U50" i="5"/>
  <c r="W104" i="5"/>
  <c r="V111" i="5"/>
  <c r="V16" i="5"/>
  <c r="V18" i="5"/>
  <c r="V17" i="5" s="1"/>
  <c r="V24" i="5"/>
  <c r="V23" i="5" s="1"/>
  <c r="V22" i="5" s="1"/>
  <c r="V21" i="5" s="1"/>
  <c r="U27" i="5"/>
  <c r="V29" i="5"/>
  <c r="V33" i="5"/>
  <c r="R32" i="5"/>
  <c r="V35" i="5"/>
  <c r="W41" i="5"/>
  <c r="R40" i="5"/>
  <c r="P50" i="5"/>
  <c r="V52" i="5"/>
  <c r="V51" i="5" s="1"/>
  <c r="O97" i="5"/>
  <c r="O96" i="5" s="1"/>
  <c r="O95" i="5" s="1"/>
  <c r="O94" i="5" s="1"/>
  <c r="O93" i="5" s="1"/>
  <c r="O92" i="5" s="1"/>
  <c r="O91" i="5" s="1"/>
  <c r="V109" i="5"/>
  <c r="P123" i="5"/>
  <c r="W130" i="5"/>
  <c r="W131" i="5"/>
  <c r="U138" i="5"/>
  <c r="T97" i="5"/>
  <c r="T96" i="5" s="1"/>
  <c r="T95" i="5" s="1"/>
  <c r="T94" i="5" s="1"/>
  <c r="T93" i="5" s="1"/>
  <c r="T92" i="5" s="1"/>
  <c r="U98" i="5"/>
  <c r="V98" i="5" s="1"/>
  <c r="W100" i="5"/>
  <c r="V107" i="5"/>
  <c r="W16" i="5"/>
  <c r="W24" i="5"/>
  <c r="W52" i="5"/>
  <c r="V61" i="5"/>
  <c r="U129" i="5"/>
  <c r="V36" i="5"/>
  <c r="W65" i="5"/>
  <c r="V77" i="5"/>
  <c r="V76" i="5" s="1"/>
  <c r="V75" i="5" s="1"/>
  <c r="R76" i="5"/>
  <c r="V105" i="5"/>
  <c r="R120" i="5"/>
  <c r="W121" i="5"/>
  <c r="V86" i="5"/>
  <c r="R85" i="5"/>
  <c r="R84" i="5" s="1"/>
  <c r="R83" i="5" s="1"/>
  <c r="R17" i="5"/>
  <c r="W17" i="5" s="1"/>
  <c r="Q26" i="5"/>
  <c r="Q25" i="5" s="1"/>
  <c r="Q20" i="5" s="1"/>
  <c r="V30" i="5"/>
  <c r="W34" i="5"/>
  <c r="W62" i="5"/>
  <c r="W86" i="5"/>
  <c r="U85" i="5"/>
  <c r="V110" i="5"/>
  <c r="V137" i="5"/>
  <c r="V136" i="5" s="1"/>
  <c r="V135" i="5" s="1"/>
  <c r="V134" i="5" s="1"/>
  <c r="V133" i="5" s="1"/>
  <c r="V45" i="5"/>
  <c r="V151" i="5"/>
  <c r="F145" i="5"/>
  <c r="K145" i="5" s="1"/>
  <c r="F146" i="5"/>
  <c r="F148" i="5"/>
  <c r="K148" i="5" s="1"/>
  <c r="F149" i="5"/>
  <c r="F150" i="5"/>
  <c r="K150" i="5" s="1"/>
  <c r="F151" i="5"/>
  <c r="F152" i="5"/>
  <c r="F153" i="5"/>
  <c r="F154" i="5"/>
  <c r="K154" i="5" s="1"/>
  <c r="F155" i="5"/>
  <c r="D137" i="5"/>
  <c r="D136" i="5" s="1"/>
  <c r="D135" i="5" s="1"/>
  <c r="D134" i="5" s="1"/>
  <c r="D133" i="5" s="1"/>
  <c r="D91" i="5" s="1"/>
  <c r="C142" i="5"/>
  <c r="J148" i="5"/>
  <c r="P631" i="10" l="1"/>
  <c r="E240" i="10"/>
  <c r="P640" i="10"/>
  <c r="P118" i="10"/>
  <c r="P638" i="10"/>
  <c r="I644" i="10"/>
  <c r="D10" i="10"/>
  <c r="E644" i="10"/>
  <c r="M631" i="10"/>
  <c r="R308" i="10"/>
  <c r="R305" i="10" s="1"/>
  <c r="O643" i="10"/>
  <c r="G653" i="10"/>
  <c r="J166" i="10"/>
  <c r="Q166" i="10"/>
  <c r="J278" i="10"/>
  <c r="Q278" i="10"/>
  <c r="J430" i="10"/>
  <c r="Q430" i="10"/>
  <c r="J271" i="10"/>
  <c r="Q271" i="10"/>
  <c r="J225" i="10"/>
  <c r="Q225" i="10"/>
  <c r="J220" i="10"/>
  <c r="Q220" i="10"/>
  <c r="M640" i="10"/>
  <c r="J183" i="10"/>
  <c r="Q183" i="10"/>
  <c r="J25" i="10"/>
  <c r="Q25" i="10"/>
  <c r="J97" i="10"/>
  <c r="Q97" i="10"/>
  <c r="J94" i="10"/>
  <c r="Q94" i="10"/>
  <c r="J326" i="10"/>
  <c r="Q326" i="10"/>
  <c r="J136" i="10"/>
  <c r="Q136" i="10"/>
  <c r="N346" i="10"/>
  <c r="N345" i="10" s="1"/>
  <c r="J357" i="10"/>
  <c r="Q357" i="10"/>
  <c r="J449" i="10"/>
  <c r="Q449" i="10"/>
  <c r="J202" i="10"/>
  <c r="Q202" i="10"/>
  <c r="J315" i="10"/>
  <c r="Q315" i="10"/>
  <c r="J412" i="10"/>
  <c r="Q412" i="10"/>
  <c r="J393" i="10"/>
  <c r="Q393" i="10"/>
  <c r="J254" i="10"/>
  <c r="Q254" i="10"/>
  <c r="J199" i="10"/>
  <c r="Q199" i="10"/>
  <c r="J172" i="10"/>
  <c r="Q172" i="10"/>
  <c r="J264" i="10"/>
  <c r="Q264" i="10"/>
  <c r="J447" i="10"/>
  <c r="Q447" i="10"/>
  <c r="J90" i="10"/>
  <c r="Q90" i="10"/>
  <c r="J69" i="10"/>
  <c r="Q69" i="10"/>
  <c r="J27" i="10"/>
  <c r="Q27" i="10"/>
  <c r="J407" i="10"/>
  <c r="Q407" i="10"/>
  <c r="J376" i="10"/>
  <c r="Q376" i="10"/>
  <c r="J312" i="10"/>
  <c r="Q312" i="10"/>
  <c r="J133" i="10"/>
  <c r="Q133" i="10"/>
  <c r="J65" i="10"/>
  <c r="Q65" i="10"/>
  <c r="J59" i="10"/>
  <c r="Q59" i="10"/>
  <c r="J424" i="10"/>
  <c r="Q424" i="10"/>
  <c r="J417" i="10"/>
  <c r="Q417" i="10"/>
  <c r="J364" i="10"/>
  <c r="Q364" i="10"/>
  <c r="J396" i="10"/>
  <c r="Q396" i="10"/>
  <c r="J353" i="10"/>
  <c r="Q353" i="10"/>
  <c r="J162" i="10"/>
  <c r="Q162" i="10"/>
  <c r="J244" i="10"/>
  <c r="Q244" i="10"/>
  <c r="J324" i="10"/>
  <c r="Q324" i="10"/>
  <c r="J178" i="10"/>
  <c r="Q178" i="10"/>
  <c r="J35" i="10"/>
  <c r="Q35" i="10"/>
  <c r="R642" i="10"/>
  <c r="J234" i="10"/>
  <c r="Q234" i="10"/>
  <c r="J269" i="10"/>
  <c r="Q269" i="10"/>
  <c r="J63" i="10"/>
  <c r="Q63" i="10"/>
  <c r="J452" i="10"/>
  <c r="Q452" i="10"/>
  <c r="J366" i="10"/>
  <c r="Q366" i="10"/>
  <c r="J370" i="10"/>
  <c r="Q370" i="10"/>
  <c r="J131" i="10"/>
  <c r="Q131" i="10"/>
  <c r="J238" i="10"/>
  <c r="Q238" i="10"/>
  <c r="J12" i="10"/>
  <c r="Q12" i="10"/>
  <c r="J385" i="10"/>
  <c r="Q385" i="10"/>
  <c r="J462" i="10"/>
  <c r="Q462" i="10"/>
  <c r="P223" i="10"/>
  <c r="J33" i="10"/>
  <c r="Q33" i="10"/>
  <c r="J373" i="10"/>
  <c r="Q373" i="10"/>
  <c r="J217" i="10"/>
  <c r="Q217" i="10"/>
  <c r="J61" i="10"/>
  <c r="Q61" i="10"/>
  <c r="J306" i="10"/>
  <c r="Q306" i="10"/>
  <c r="J87" i="10"/>
  <c r="Q87" i="10"/>
  <c r="J140" i="10"/>
  <c r="Q140" i="10"/>
  <c r="J155" i="10"/>
  <c r="Q155" i="10"/>
  <c r="J280" i="10"/>
  <c r="Q280" i="10"/>
  <c r="J249" i="10"/>
  <c r="Q249" i="10"/>
  <c r="K223" i="10"/>
  <c r="F644" i="10"/>
  <c r="J403" i="10"/>
  <c r="Q403" i="10"/>
  <c r="R318" i="10"/>
  <c r="R317" i="10" s="1"/>
  <c r="J410" i="10"/>
  <c r="Q410" i="10"/>
  <c r="J108" i="10"/>
  <c r="Q108" i="10"/>
  <c r="J22" i="10"/>
  <c r="Q22" i="10"/>
  <c r="H9" i="10"/>
  <c r="P46" i="10"/>
  <c r="J381" i="10"/>
  <c r="Q381" i="10"/>
  <c r="J309" i="10"/>
  <c r="Q309" i="10"/>
  <c r="J142" i="10"/>
  <c r="Q142" i="10"/>
  <c r="F643" i="10"/>
  <c r="J104" i="10"/>
  <c r="Q104" i="10"/>
  <c r="J266" i="10"/>
  <c r="Q266" i="10"/>
  <c r="N644" i="10"/>
  <c r="J361" i="10"/>
  <c r="Q361" i="10"/>
  <c r="J252" i="10"/>
  <c r="Q252" i="10"/>
  <c r="J29" i="10"/>
  <c r="Q29" i="10"/>
  <c r="J455" i="10"/>
  <c r="Q455" i="10"/>
  <c r="J459" i="10"/>
  <c r="Q459" i="10"/>
  <c r="J390" i="10"/>
  <c r="Q390" i="10"/>
  <c r="J31" i="10"/>
  <c r="Q31" i="10"/>
  <c r="J415" i="10"/>
  <c r="Q415" i="10"/>
  <c r="J214" i="10"/>
  <c r="Q214" i="10"/>
  <c r="J67" i="10"/>
  <c r="Q67" i="10"/>
  <c r="J400" i="10"/>
  <c r="Q400" i="10"/>
  <c r="J349" i="10"/>
  <c r="Q349" i="10"/>
  <c r="J275" i="10"/>
  <c r="Q275" i="10"/>
  <c r="J102" i="10"/>
  <c r="Q102" i="10"/>
  <c r="M638" i="10"/>
  <c r="J379" i="10"/>
  <c r="Q379" i="10"/>
  <c r="M118" i="10"/>
  <c r="J241" i="10"/>
  <c r="Q241" i="10"/>
  <c r="J119" i="10"/>
  <c r="Q119" i="10"/>
  <c r="J421" i="10"/>
  <c r="Q421" i="10"/>
  <c r="J147" i="10"/>
  <c r="Q147" i="10"/>
  <c r="J651" i="10"/>
  <c r="G657" i="10"/>
  <c r="W136" i="5"/>
  <c r="U57" i="5"/>
  <c r="L346" i="10"/>
  <c r="L345" i="10" s="1"/>
  <c r="M318" i="10"/>
  <c r="M317" i="10" s="1"/>
  <c r="C304" i="10"/>
  <c r="N304" i="10"/>
  <c r="P139" i="10"/>
  <c r="R389" i="10"/>
  <c r="E117" i="10"/>
  <c r="I304" i="10"/>
  <c r="Q648" i="10"/>
  <c r="P642" i="10"/>
  <c r="P653" i="10"/>
  <c r="W116" i="5"/>
  <c r="W115" i="5"/>
  <c r="V58" i="5"/>
  <c r="J659" i="10"/>
  <c r="P56" i="5"/>
  <c r="G634" i="10"/>
  <c r="J634" i="10" s="1"/>
  <c r="P329" i="10"/>
  <c r="C240" i="10"/>
  <c r="C207" i="10" s="1"/>
  <c r="M46" i="10"/>
  <c r="J145" i="5"/>
  <c r="Q658" i="10"/>
  <c r="P208" i="10"/>
  <c r="P207" i="10" s="1"/>
  <c r="L644" i="10"/>
  <c r="P240" i="10"/>
  <c r="E643" i="10"/>
  <c r="C10" i="10"/>
  <c r="C627" i="10" s="1"/>
  <c r="R193" i="10"/>
  <c r="R86" i="10"/>
  <c r="R77" i="10" s="1"/>
  <c r="R76" i="10" s="1"/>
  <c r="N643" i="10"/>
  <c r="H643" i="10"/>
  <c r="D644" i="10"/>
  <c r="R208" i="10"/>
  <c r="I117" i="10"/>
  <c r="I630" i="10" s="1"/>
  <c r="J248" i="10"/>
  <c r="V123" i="5"/>
  <c r="M193" i="10"/>
  <c r="P348" i="10"/>
  <c r="P347" i="10" s="1"/>
  <c r="F223" i="10"/>
  <c r="F207" i="10" s="1"/>
  <c r="H644" i="10"/>
  <c r="T38" i="5"/>
  <c r="G466" i="10"/>
  <c r="Q466" i="10" s="1"/>
  <c r="J467" i="10"/>
  <c r="G469" i="10"/>
  <c r="J470" i="10"/>
  <c r="G209" i="10"/>
  <c r="J212" i="10"/>
  <c r="O223" i="10"/>
  <c r="P270" i="10"/>
  <c r="G71" i="10"/>
  <c r="J72" i="10"/>
  <c r="D304" i="10"/>
  <c r="R270" i="10"/>
  <c r="G188" i="10"/>
  <c r="G153" i="10" s="1"/>
  <c r="J189" i="10"/>
  <c r="G233" i="10"/>
  <c r="J236" i="10"/>
  <c r="G580" i="10"/>
  <c r="J581" i="10"/>
  <c r="G427" i="10"/>
  <c r="Q427" i="10" s="1"/>
  <c r="J428" i="10"/>
  <c r="G641" i="10"/>
  <c r="Q641" i="10" s="1"/>
  <c r="G37" i="10"/>
  <c r="J38" i="10"/>
  <c r="K644" i="10"/>
  <c r="L643" i="10"/>
  <c r="G341" i="10"/>
  <c r="Q341" i="10" s="1"/>
  <c r="J342" i="10"/>
  <c r="J294" i="10"/>
  <c r="G293" i="10"/>
  <c r="Q293" i="10" s="1"/>
  <c r="G434" i="10"/>
  <c r="Q434" i="10" s="1"/>
  <c r="J435" i="10"/>
  <c r="G330" i="10"/>
  <c r="Q330" i="10" s="1"/>
  <c r="J331" i="10"/>
  <c r="G227" i="10"/>
  <c r="Q227" i="10" s="1"/>
  <c r="J229" i="10"/>
  <c r="G336" i="10"/>
  <c r="Q336" i="10" s="1"/>
  <c r="J337" i="10"/>
  <c r="G319" i="10"/>
  <c r="Q319" i="10" s="1"/>
  <c r="J320" i="10"/>
  <c r="I346" i="10"/>
  <c r="I345" i="10" s="1"/>
  <c r="G193" i="10"/>
  <c r="J194" i="10"/>
  <c r="G123" i="10"/>
  <c r="J124" i="10"/>
  <c r="G79" i="10"/>
  <c r="Q79" i="10" s="1"/>
  <c r="J80" i="10"/>
  <c r="M348" i="10"/>
  <c r="M347" i="10" s="1"/>
  <c r="M346" i="10" s="1"/>
  <c r="M345" i="10" s="1"/>
  <c r="G638" i="10"/>
  <c r="J638" i="10" s="1"/>
  <c r="G297" i="10"/>
  <c r="Q297" i="10" s="1"/>
  <c r="J298" i="10"/>
  <c r="G257" i="10"/>
  <c r="J258" i="10"/>
  <c r="K240" i="10"/>
  <c r="K207" i="10" s="1"/>
  <c r="G300" i="10"/>
  <c r="J301" i="10"/>
  <c r="G47" i="10"/>
  <c r="J48" i="10"/>
  <c r="G113" i="10"/>
  <c r="Q113" i="10" s="1"/>
  <c r="J114" i="10"/>
  <c r="M329" i="10"/>
  <c r="O10" i="10"/>
  <c r="O9" i="10" s="1"/>
  <c r="D643" i="10"/>
  <c r="G643" i="10" s="1"/>
  <c r="P389" i="10"/>
  <c r="P346" i="10" s="1"/>
  <c r="P345" i="10" s="1"/>
  <c r="M446" i="10"/>
  <c r="M445" i="10" s="1"/>
  <c r="M444" i="10" s="1"/>
  <c r="R649" i="10"/>
  <c r="G284" i="10"/>
  <c r="Q284" i="10" s="1"/>
  <c r="J285" i="10"/>
  <c r="G440" i="10"/>
  <c r="J441" i="10"/>
  <c r="G288" i="10"/>
  <c r="Q288" i="10" s="1"/>
  <c r="J289" i="10"/>
  <c r="R631" i="10"/>
  <c r="M657" i="10"/>
  <c r="F117" i="10"/>
  <c r="G399" i="10"/>
  <c r="G640" i="10"/>
  <c r="J640" i="10" s="1"/>
  <c r="K9" i="10"/>
  <c r="R329" i="10"/>
  <c r="R304" i="10" s="1"/>
  <c r="O304" i="10"/>
  <c r="G631" i="10"/>
  <c r="J631" i="10" s="1"/>
  <c r="P193" i="10"/>
  <c r="D346" i="10"/>
  <c r="D345" i="10" s="1"/>
  <c r="M240" i="10"/>
  <c r="M153" i="10"/>
  <c r="M86" i="10"/>
  <c r="M77" i="10" s="1"/>
  <c r="M76" i="10" s="1"/>
  <c r="F304" i="10"/>
  <c r="H304" i="10"/>
  <c r="V50" i="5"/>
  <c r="J655" i="10"/>
  <c r="R466" i="10"/>
  <c r="R465" i="10" s="1"/>
  <c r="R661" i="10" s="1"/>
  <c r="I643" i="10"/>
  <c r="P643" i="10" s="1"/>
  <c r="P153" i="10"/>
  <c r="H223" i="10"/>
  <c r="R224" i="10"/>
  <c r="E77" i="10"/>
  <c r="E76" i="10" s="1"/>
  <c r="G11" i="10"/>
  <c r="P318" i="10"/>
  <c r="P317" i="10" s="1"/>
  <c r="K117" i="10"/>
  <c r="F346" i="10"/>
  <c r="F345" i="10" s="1"/>
  <c r="N10" i="10"/>
  <c r="N627" i="10" s="1"/>
  <c r="N626" i="10" s="1"/>
  <c r="K304" i="10"/>
  <c r="K303" i="10" s="1"/>
  <c r="P86" i="10"/>
  <c r="P77" i="10" s="1"/>
  <c r="P76" i="10" s="1"/>
  <c r="G420" i="10"/>
  <c r="Q420" i="10" s="1"/>
  <c r="R78" i="5"/>
  <c r="S56" i="5"/>
  <c r="R67" i="5"/>
  <c r="W67" i="5" s="1"/>
  <c r="Q660" i="10"/>
  <c r="R348" i="10"/>
  <c r="R347" i="10" s="1"/>
  <c r="P446" i="10"/>
  <c r="P445" i="10" s="1"/>
  <c r="P444" i="10" s="1"/>
  <c r="K626" i="10"/>
  <c r="P628" i="10"/>
  <c r="R662" i="10"/>
  <c r="Q91" i="5"/>
  <c r="E346" i="10"/>
  <c r="E345" i="10" s="1"/>
  <c r="Q656" i="10"/>
  <c r="J656" i="10"/>
  <c r="P38" i="5"/>
  <c r="P37" i="5" s="1"/>
  <c r="P10" i="5" s="1"/>
  <c r="P9" i="5" s="1"/>
  <c r="V44" i="5"/>
  <c r="V39" i="5" s="1"/>
  <c r="Q56" i="5"/>
  <c r="K346" i="10"/>
  <c r="K345" i="10" s="1"/>
  <c r="R446" i="10"/>
  <c r="R445" i="10" s="1"/>
  <c r="R444" i="10" s="1"/>
  <c r="Q653" i="10"/>
  <c r="P645" i="10"/>
  <c r="H240" i="10"/>
  <c r="C628" i="10"/>
  <c r="G628" i="10" s="1"/>
  <c r="F627" i="10"/>
  <c r="F626" i="10" s="1"/>
  <c r="F9" i="10"/>
  <c r="M270" i="10"/>
  <c r="W138" i="5"/>
  <c r="W141" i="5"/>
  <c r="W124" i="5"/>
  <c r="G139" i="10"/>
  <c r="G24" i="10"/>
  <c r="Q24" i="10" s="1"/>
  <c r="M628" i="10"/>
  <c r="R39" i="5"/>
  <c r="W39" i="5" s="1"/>
  <c r="J149" i="5"/>
  <c r="K149" i="5"/>
  <c r="W125" i="5"/>
  <c r="R657" i="10"/>
  <c r="J653" i="10"/>
  <c r="G308" i="10"/>
  <c r="Q308" i="10" s="1"/>
  <c r="O207" i="10"/>
  <c r="R10" i="10"/>
  <c r="R627" i="10" s="1"/>
  <c r="R240" i="10"/>
  <c r="D117" i="10"/>
  <c r="D630" i="10" s="1"/>
  <c r="AS30" i="10"/>
  <c r="E304" i="10"/>
  <c r="E303" i="10" s="1"/>
  <c r="W135" i="5"/>
  <c r="W44" i="5"/>
  <c r="M645" i="10"/>
  <c r="O346" i="10"/>
  <c r="O345" i="10" s="1"/>
  <c r="O303" i="10" s="1"/>
  <c r="L304" i="10"/>
  <c r="R153" i="10"/>
  <c r="R117" i="10" s="1"/>
  <c r="Q654" i="10"/>
  <c r="J654" i="10"/>
  <c r="F240" i="10"/>
  <c r="D240" i="10"/>
  <c r="L117" i="10"/>
  <c r="L630" i="10" s="1"/>
  <c r="L629" i="10" s="1"/>
  <c r="M308" i="10"/>
  <c r="M305" i="10" s="1"/>
  <c r="J151" i="5"/>
  <c r="K151" i="5"/>
  <c r="J155" i="5"/>
  <c r="K155" i="5"/>
  <c r="C117" i="10"/>
  <c r="E223" i="10"/>
  <c r="E207" i="10" s="1"/>
  <c r="M10" i="10"/>
  <c r="M9" i="10" s="1"/>
  <c r="AS32" i="10"/>
  <c r="J146" i="5"/>
  <c r="K146" i="5"/>
  <c r="P91" i="5"/>
  <c r="J154" i="5"/>
  <c r="V142" i="5"/>
  <c r="V141" i="5" s="1"/>
  <c r="V140" i="5" s="1"/>
  <c r="V139" i="5" s="1"/>
  <c r="V138" i="5" s="1"/>
  <c r="M139" i="10"/>
  <c r="N117" i="10"/>
  <c r="N630" i="10" s="1"/>
  <c r="N629" i="10" s="1"/>
  <c r="AQ12" i="10"/>
  <c r="AQ11" i="10" s="1"/>
  <c r="AQ10" i="10" s="1"/>
  <c r="P10" i="10"/>
  <c r="J150" i="5"/>
  <c r="J152" i="5"/>
  <c r="K152" i="5"/>
  <c r="W134" i="5"/>
  <c r="W140" i="5"/>
  <c r="R223" i="10"/>
  <c r="O117" i="10"/>
  <c r="O630" i="10" s="1"/>
  <c r="G118" i="10"/>
  <c r="I9" i="10"/>
  <c r="R46" i="10"/>
  <c r="R628" i="10" s="1"/>
  <c r="G243" i="10"/>
  <c r="H346" i="10"/>
  <c r="H345" i="10" s="1"/>
  <c r="J153" i="5"/>
  <c r="K153" i="5"/>
  <c r="J641" i="10"/>
  <c r="F630" i="10"/>
  <c r="F629" i="10" s="1"/>
  <c r="J661" i="10"/>
  <c r="Q661" i="10"/>
  <c r="L240" i="10"/>
  <c r="L207" i="10" s="1"/>
  <c r="D627" i="10"/>
  <c r="D626" i="10" s="1"/>
  <c r="D9" i="10"/>
  <c r="J635" i="10"/>
  <c r="Q635" i="10"/>
  <c r="N303" i="10"/>
  <c r="H630" i="10"/>
  <c r="H629" i="10" s="1"/>
  <c r="I626" i="10"/>
  <c r="G446" i="10"/>
  <c r="Q446" i="10" s="1"/>
  <c r="J645" i="10"/>
  <c r="Q645" i="10"/>
  <c r="J633" i="10"/>
  <c r="Q633" i="10"/>
  <c r="G389" i="10"/>
  <c r="E627" i="10"/>
  <c r="E626" i="10" s="1"/>
  <c r="E9" i="10"/>
  <c r="G58" i="10"/>
  <c r="Q58" i="10" s="1"/>
  <c r="P636" i="10"/>
  <c r="G268" i="10"/>
  <c r="G409" i="10"/>
  <c r="J636" i="10"/>
  <c r="Q636" i="10"/>
  <c r="G642" i="10"/>
  <c r="N207" i="10"/>
  <c r="N116" i="10" s="1"/>
  <c r="N75" i="10" s="1"/>
  <c r="L627" i="10"/>
  <c r="L626" i="10" s="1"/>
  <c r="L9" i="10"/>
  <c r="J669" i="10"/>
  <c r="J662" i="10" s="1"/>
  <c r="Q669" i="10"/>
  <c r="Q662" i="10" s="1"/>
  <c r="G662" i="10"/>
  <c r="J670" i="10"/>
  <c r="Q670" i="10"/>
  <c r="M642" i="10"/>
  <c r="L303" i="10"/>
  <c r="I207" i="10"/>
  <c r="I116" i="10" s="1"/>
  <c r="I75" i="10" s="1"/>
  <c r="G86" i="10"/>
  <c r="Q86" i="10" s="1"/>
  <c r="AS13" i="10"/>
  <c r="J657" i="10"/>
  <c r="Q657" i="10"/>
  <c r="C644" i="10"/>
  <c r="G649" i="10"/>
  <c r="P657" i="10"/>
  <c r="O644" i="10"/>
  <c r="P644" i="10" s="1"/>
  <c r="G348" i="10"/>
  <c r="Q348" i="10" s="1"/>
  <c r="R645" i="10"/>
  <c r="R644" i="10" s="1"/>
  <c r="C346" i="10"/>
  <c r="C345" i="10" s="1"/>
  <c r="C303" i="10" s="1"/>
  <c r="J632" i="10"/>
  <c r="Q632" i="10"/>
  <c r="D639" i="10"/>
  <c r="G639" i="10" s="1"/>
  <c r="D208" i="10"/>
  <c r="G270" i="10"/>
  <c r="P639" i="10"/>
  <c r="W40" i="5"/>
  <c r="O56" i="5"/>
  <c r="O37" i="5" s="1"/>
  <c r="O10" i="5" s="1"/>
  <c r="O9" i="5" s="1"/>
  <c r="O8" i="5" s="1"/>
  <c r="R50" i="5"/>
  <c r="W50" i="5" s="1"/>
  <c r="V85" i="5"/>
  <c r="V84" i="5" s="1"/>
  <c r="V83" i="5" s="1"/>
  <c r="V78" i="5" s="1"/>
  <c r="V63" i="5"/>
  <c r="V57" i="5" s="1"/>
  <c r="T37" i="5"/>
  <c r="T10" i="5" s="1"/>
  <c r="T9" i="5" s="1"/>
  <c r="W126" i="5"/>
  <c r="R15" i="5"/>
  <c r="V97" i="5"/>
  <c r="V96" i="5" s="1"/>
  <c r="V95" i="5" s="1"/>
  <c r="V94" i="5" s="1"/>
  <c r="V93" i="5" s="1"/>
  <c r="V92" i="5" s="1"/>
  <c r="V91" i="5" s="1"/>
  <c r="W142" i="5"/>
  <c r="W80" i="5"/>
  <c r="S38" i="5"/>
  <c r="W139" i="5"/>
  <c r="V32" i="5"/>
  <c r="U113" i="5"/>
  <c r="W113" i="5" s="1"/>
  <c r="W114" i="5"/>
  <c r="W129" i="5"/>
  <c r="U128" i="5"/>
  <c r="W58" i="5"/>
  <c r="V27" i="5"/>
  <c r="W79" i="5"/>
  <c r="W27" i="5"/>
  <c r="U26" i="5"/>
  <c r="U71" i="5"/>
  <c r="W72" i="5"/>
  <c r="V72" i="5"/>
  <c r="V71" i="5" s="1"/>
  <c r="V70" i="5" s="1"/>
  <c r="W85" i="5"/>
  <c r="U84" i="5"/>
  <c r="W120" i="5"/>
  <c r="R119" i="5"/>
  <c r="R26" i="5"/>
  <c r="R25" i="5" s="1"/>
  <c r="R20" i="5" s="1"/>
  <c r="W81" i="5"/>
  <c r="U38" i="5"/>
  <c r="R75" i="5"/>
  <c r="W75" i="5" s="1"/>
  <c r="W76" i="5"/>
  <c r="V15" i="5"/>
  <c r="V14" i="5" s="1"/>
  <c r="V13" i="5" s="1"/>
  <c r="V12" i="5" s="1"/>
  <c r="V11" i="5" s="1"/>
  <c r="W32" i="5"/>
  <c r="W22" i="5"/>
  <c r="U21" i="5"/>
  <c r="Q37" i="5"/>
  <c r="Q10" i="5" s="1"/>
  <c r="Q9" i="5" s="1"/>
  <c r="U97" i="5"/>
  <c r="W98" i="5"/>
  <c r="T91" i="5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I466" i="3"/>
  <c r="AJ466" i="3"/>
  <c r="AK466" i="3"/>
  <c r="AM466" i="3"/>
  <c r="AN466" i="3"/>
  <c r="AO466" i="3"/>
  <c r="AP466" i="3"/>
  <c r="AQ466" i="3"/>
  <c r="AR466" i="3"/>
  <c r="AS466" i="3"/>
  <c r="AT466" i="3"/>
  <c r="AI467" i="3"/>
  <c r="AJ467" i="3"/>
  <c r="AK467" i="3"/>
  <c r="AM467" i="3"/>
  <c r="AN467" i="3"/>
  <c r="AO467" i="3"/>
  <c r="AP467" i="3"/>
  <c r="AQ467" i="3"/>
  <c r="AR467" i="3"/>
  <c r="AS467" i="3"/>
  <c r="AT467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G615" i="3"/>
  <c r="AV615" i="3" s="1"/>
  <c r="AG614" i="3"/>
  <c r="AV614" i="3" s="1"/>
  <c r="AG613" i="3"/>
  <c r="AV613" i="3" s="1"/>
  <c r="AG612" i="3"/>
  <c r="AV612" i="3" s="1"/>
  <c r="AG611" i="3"/>
  <c r="AV611" i="3" s="1"/>
  <c r="AG610" i="3"/>
  <c r="AV610" i="3" s="1"/>
  <c r="AG609" i="3"/>
  <c r="AV609" i="3" s="1"/>
  <c r="AG608" i="3"/>
  <c r="AV608" i="3" s="1"/>
  <c r="AG607" i="3"/>
  <c r="AV607" i="3" s="1"/>
  <c r="AG606" i="3"/>
  <c r="AV606" i="3" s="1"/>
  <c r="AG605" i="3"/>
  <c r="AV605" i="3" s="1"/>
  <c r="AG604" i="3"/>
  <c r="AV604" i="3" s="1"/>
  <c r="AG603" i="3"/>
  <c r="AV603" i="3" s="1"/>
  <c r="AG602" i="3"/>
  <c r="AV602" i="3" s="1"/>
  <c r="AG601" i="3"/>
  <c r="AV601" i="3" s="1"/>
  <c r="AG600" i="3"/>
  <c r="AV600" i="3" s="1"/>
  <c r="AG599" i="3"/>
  <c r="AV599" i="3" s="1"/>
  <c r="AG598" i="3"/>
  <c r="AV598" i="3" s="1"/>
  <c r="AG597" i="3"/>
  <c r="AV597" i="3" s="1"/>
  <c r="AG596" i="3"/>
  <c r="AV596" i="3" s="1"/>
  <c r="AG595" i="3"/>
  <c r="AV595" i="3" s="1"/>
  <c r="AG594" i="3"/>
  <c r="AV594" i="3" s="1"/>
  <c r="AG593" i="3"/>
  <c r="AV593" i="3" s="1"/>
  <c r="AG592" i="3"/>
  <c r="AV592" i="3" s="1"/>
  <c r="AG591" i="3"/>
  <c r="AV591" i="3" s="1"/>
  <c r="AG590" i="3"/>
  <c r="AV590" i="3" s="1"/>
  <c r="AG589" i="3"/>
  <c r="AV589" i="3" s="1"/>
  <c r="AG588" i="3"/>
  <c r="AV588" i="3" s="1"/>
  <c r="AG587" i="3"/>
  <c r="AV587" i="3" s="1"/>
  <c r="AG586" i="3"/>
  <c r="AV586" i="3" s="1"/>
  <c r="AG585" i="3"/>
  <c r="AV585" i="3" s="1"/>
  <c r="AG584" i="3"/>
  <c r="AV584" i="3" s="1"/>
  <c r="AG583" i="3"/>
  <c r="AV583" i="3" s="1"/>
  <c r="AG582" i="3"/>
  <c r="AV582" i="3" s="1"/>
  <c r="AG581" i="3"/>
  <c r="AV581" i="3" s="1"/>
  <c r="AG580" i="3"/>
  <c r="AV580" i="3" s="1"/>
  <c r="AG579" i="3"/>
  <c r="AV579" i="3" s="1"/>
  <c r="AG576" i="3"/>
  <c r="AV576" i="3" s="1"/>
  <c r="AG575" i="3"/>
  <c r="AV575" i="3" s="1"/>
  <c r="AG574" i="3"/>
  <c r="AV574" i="3" s="1"/>
  <c r="AG573" i="3"/>
  <c r="AV573" i="3" s="1"/>
  <c r="AG572" i="3"/>
  <c r="AV572" i="3" s="1"/>
  <c r="AG571" i="3"/>
  <c r="AV571" i="3" s="1"/>
  <c r="AG570" i="3"/>
  <c r="AV570" i="3" s="1"/>
  <c r="AG569" i="3"/>
  <c r="AV569" i="3" s="1"/>
  <c r="AG568" i="3"/>
  <c r="AV568" i="3" s="1"/>
  <c r="AG567" i="3"/>
  <c r="AV567" i="3" s="1"/>
  <c r="AG566" i="3"/>
  <c r="AV566" i="3" s="1"/>
  <c r="AG565" i="3"/>
  <c r="AV565" i="3" s="1"/>
  <c r="AG564" i="3"/>
  <c r="AV564" i="3" s="1"/>
  <c r="AG563" i="3"/>
  <c r="AV563" i="3" s="1"/>
  <c r="AG562" i="3"/>
  <c r="AV562" i="3" s="1"/>
  <c r="AG561" i="3"/>
  <c r="AV561" i="3" s="1"/>
  <c r="AG560" i="3"/>
  <c r="AV560" i="3" s="1"/>
  <c r="AG559" i="3"/>
  <c r="AV559" i="3" s="1"/>
  <c r="AG558" i="3"/>
  <c r="AV558" i="3" s="1"/>
  <c r="AG557" i="3"/>
  <c r="AV557" i="3" s="1"/>
  <c r="AG556" i="3"/>
  <c r="AV556" i="3" s="1"/>
  <c r="AG555" i="3"/>
  <c r="AV555" i="3" s="1"/>
  <c r="AG554" i="3"/>
  <c r="AV554" i="3" s="1"/>
  <c r="AG553" i="3"/>
  <c r="AV553" i="3" s="1"/>
  <c r="AG552" i="3"/>
  <c r="AV552" i="3" s="1"/>
  <c r="AG551" i="3"/>
  <c r="AV551" i="3" s="1"/>
  <c r="AG550" i="3"/>
  <c r="AV550" i="3" s="1"/>
  <c r="AG549" i="3"/>
  <c r="AV549" i="3" s="1"/>
  <c r="AG548" i="3"/>
  <c r="AV548" i="3" s="1"/>
  <c r="AG547" i="3"/>
  <c r="AV547" i="3" s="1"/>
  <c r="AG546" i="3"/>
  <c r="AV546" i="3" s="1"/>
  <c r="AG545" i="3"/>
  <c r="AV545" i="3" s="1"/>
  <c r="AG544" i="3"/>
  <c r="AV544" i="3" s="1"/>
  <c r="AG543" i="3"/>
  <c r="AV543" i="3" s="1"/>
  <c r="AG542" i="3"/>
  <c r="AV542" i="3" s="1"/>
  <c r="AG541" i="3"/>
  <c r="AV541" i="3" s="1"/>
  <c r="AG540" i="3"/>
  <c r="AV540" i="3" s="1"/>
  <c r="AG539" i="3"/>
  <c r="AV539" i="3" s="1"/>
  <c r="AG538" i="3"/>
  <c r="AV538" i="3" s="1"/>
  <c r="AG537" i="3"/>
  <c r="AV537" i="3" s="1"/>
  <c r="AG536" i="3"/>
  <c r="AV536" i="3" s="1"/>
  <c r="AG535" i="3"/>
  <c r="AV535" i="3" s="1"/>
  <c r="AG534" i="3"/>
  <c r="AV534" i="3" s="1"/>
  <c r="AG533" i="3"/>
  <c r="AV533" i="3" s="1"/>
  <c r="AG532" i="3"/>
  <c r="AV532" i="3" s="1"/>
  <c r="AG531" i="3"/>
  <c r="AV531" i="3" s="1"/>
  <c r="AG530" i="3"/>
  <c r="AV530" i="3" s="1"/>
  <c r="AG529" i="3"/>
  <c r="AV529" i="3" s="1"/>
  <c r="AG528" i="3"/>
  <c r="AV528" i="3" s="1"/>
  <c r="AG527" i="3"/>
  <c r="AV527" i="3" s="1"/>
  <c r="AG526" i="3"/>
  <c r="AV526" i="3" s="1"/>
  <c r="AG525" i="3"/>
  <c r="AV525" i="3" s="1"/>
  <c r="AG524" i="3"/>
  <c r="AV524" i="3" s="1"/>
  <c r="AG523" i="3"/>
  <c r="AV523" i="3" s="1"/>
  <c r="AG522" i="3"/>
  <c r="AV522" i="3" s="1"/>
  <c r="AG521" i="3"/>
  <c r="AV521" i="3" s="1"/>
  <c r="AG520" i="3"/>
  <c r="AV520" i="3" s="1"/>
  <c r="AG519" i="3"/>
  <c r="AV519" i="3" s="1"/>
  <c r="AG518" i="3"/>
  <c r="AV518" i="3" s="1"/>
  <c r="AG517" i="3"/>
  <c r="AV517" i="3" s="1"/>
  <c r="AG516" i="3"/>
  <c r="AV516" i="3" s="1"/>
  <c r="AG515" i="3"/>
  <c r="AV515" i="3" s="1"/>
  <c r="AG514" i="3"/>
  <c r="AV514" i="3" s="1"/>
  <c r="AG513" i="3"/>
  <c r="AV513" i="3" s="1"/>
  <c r="AG512" i="3"/>
  <c r="AV512" i="3" s="1"/>
  <c r="AG511" i="3"/>
  <c r="AV511" i="3" s="1"/>
  <c r="AG510" i="3"/>
  <c r="AV510" i="3" s="1"/>
  <c r="AG509" i="3"/>
  <c r="AV509" i="3" s="1"/>
  <c r="AG508" i="3"/>
  <c r="AV508" i="3" s="1"/>
  <c r="AG507" i="3"/>
  <c r="AV507" i="3" s="1"/>
  <c r="AG506" i="3"/>
  <c r="AV506" i="3" s="1"/>
  <c r="AG505" i="3"/>
  <c r="AV505" i="3" s="1"/>
  <c r="AG504" i="3"/>
  <c r="AV504" i="3" s="1"/>
  <c r="AG503" i="3"/>
  <c r="AV503" i="3" s="1"/>
  <c r="AG502" i="3"/>
  <c r="AV502" i="3" s="1"/>
  <c r="AG501" i="3"/>
  <c r="AV501" i="3" s="1"/>
  <c r="AG500" i="3"/>
  <c r="AV500" i="3" s="1"/>
  <c r="AG499" i="3"/>
  <c r="AV499" i="3" s="1"/>
  <c r="AG498" i="3"/>
  <c r="AV498" i="3" s="1"/>
  <c r="AG497" i="3"/>
  <c r="AV497" i="3" s="1"/>
  <c r="AG496" i="3"/>
  <c r="AV496" i="3" s="1"/>
  <c r="AG495" i="3"/>
  <c r="AV495" i="3" s="1"/>
  <c r="AG494" i="3"/>
  <c r="AV494" i="3" s="1"/>
  <c r="AG493" i="3"/>
  <c r="AV493" i="3" s="1"/>
  <c r="AG492" i="3"/>
  <c r="AV492" i="3" s="1"/>
  <c r="AG491" i="3"/>
  <c r="AV491" i="3" s="1"/>
  <c r="AG490" i="3"/>
  <c r="AV490" i="3" s="1"/>
  <c r="AG489" i="3"/>
  <c r="AV489" i="3" s="1"/>
  <c r="AG488" i="3"/>
  <c r="AV488" i="3" s="1"/>
  <c r="AG487" i="3"/>
  <c r="AV487" i="3" s="1"/>
  <c r="AG486" i="3"/>
  <c r="AV486" i="3" s="1"/>
  <c r="AG485" i="3"/>
  <c r="AV485" i="3" s="1"/>
  <c r="AG484" i="3"/>
  <c r="AV484" i="3" s="1"/>
  <c r="AG483" i="3"/>
  <c r="AV483" i="3" s="1"/>
  <c r="AG482" i="3"/>
  <c r="AV482" i="3" s="1"/>
  <c r="AG481" i="3"/>
  <c r="AV481" i="3" s="1"/>
  <c r="AG480" i="3"/>
  <c r="AV480" i="3" s="1"/>
  <c r="AG479" i="3"/>
  <c r="AV479" i="3" s="1"/>
  <c r="AG478" i="3"/>
  <c r="AV478" i="3" s="1"/>
  <c r="AG477" i="3"/>
  <c r="AV477" i="3" s="1"/>
  <c r="AG476" i="3"/>
  <c r="AV476" i="3" s="1"/>
  <c r="AG475" i="3"/>
  <c r="AV475" i="3" s="1"/>
  <c r="AG474" i="3"/>
  <c r="AV474" i="3" s="1"/>
  <c r="AG473" i="3"/>
  <c r="AV473" i="3" s="1"/>
  <c r="AG472" i="3"/>
  <c r="AV472" i="3" s="1"/>
  <c r="AG471" i="3"/>
  <c r="AV471" i="3" s="1"/>
  <c r="AG470" i="3"/>
  <c r="AV470" i="3" s="1"/>
  <c r="AG469" i="3"/>
  <c r="AV469" i="3" s="1"/>
  <c r="AG468" i="3"/>
  <c r="AV468" i="3" s="1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19" i="3"/>
  <c r="AG410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5" i="3"/>
  <c r="AF418" i="3"/>
  <c r="AF409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W578" i="3"/>
  <c r="W577" i="3" s="1"/>
  <c r="W467" i="3"/>
  <c r="AG467" i="3" s="1"/>
  <c r="AV467" i="3" s="1"/>
  <c r="W464" i="3"/>
  <c r="W463" i="3" s="1"/>
  <c r="W462" i="3" s="1"/>
  <c r="W459" i="3"/>
  <c r="W456" i="3"/>
  <c r="W452" i="3"/>
  <c r="W449" i="3"/>
  <c r="W446" i="3"/>
  <c r="W444" i="3"/>
  <c r="W438" i="3"/>
  <c r="W437" i="3" s="1"/>
  <c r="W432" i="3"/>
  <c r="W431" i="3" s="1"/>
  <c r="W426" i="3"/>
  <c r="W424" i="3"/>
  <c r="W423" i="3" s="1"/>
  <c r="W420" i="3"/>
  <c r="AG421" i="3" s="1"/>
  <c r="W417" i="3"/>
  <c r="W413" i="3"/>
  <c r="AG414" i="3" s="1"/>
  <c r="W411" i="3"/>
  <c r="AG412" i="3" s="1"/>
  <c r="W408" i="3"/>
  <c r="AG409" i="3" s="1"/>
  <c r="W406" i="3"/>
  <c r="AG407" i="3" s="1"/>
  <c r="AG404" i="3"/>
  <c r="W400" i="3"/>
  <c r="W397" i="3"/>
  <c r="W393" i="3"/>
  <c r="W390" i="3"/>
  <c r="W387" i="3"/>
  <c r="W382" i="3"/>
  <c r="W378" i="3"/>
  <c r="W376" i="3"/>
  <c r="W373" i="3"/>
  <c r="W370" i="3"/>
  <c r="W367" i="3"/>
  <c r="W363" i="3"/>
  <c r="W361" i="3"/>
  <c r="W358" i="3"/>
  <c r="W354" i="3"/>
  <c r="W350" i="3"/>
  <c r="W346" i="3"/>
  <c r="W339" i="3"/>
  <c r="W338" i="3" s="1"/>
  <c r="W337" i="3" s="1"/>
  <c r="W334" i="3"/>
  <c r="W333" i="3" s="1"/>
  <c r="W332" i="3" s="1"/>
  <c r="W328" i="3"/>
  <c r="W327" i="3" s="1"/>
  <c r="W323" i="3"/>
  <c r="W321" i="3"/>
  <c r="W317" i="3"/>
  <c r="W312" i="3"/>
  <c r="W309" i="3"/>
  <c r="W306" i="3"/>
  <c r="W303" i="3"/>
  <c r="W298" i="3"/>
  <c r="W297" i="3" s="1"/>
  <c r="W295" i="3"/>
  <c r="W294" i="3" s="1"/>
  <c r="W293" i="3" s="1"/>
  <c r="W291" i="3"/>
  <c r="W290" i="3" s="1"/>
  <c r="W289" i="3" s="1"/>
  <c r="W286" i="3"/>
  <c r="W285" i="3" s="1"/>
  <c r="W284" i="3" s="1"/>
  <c r="W282" i="3"/>
  <c r="W281" i="3" s="1"/>
  <c r="W280" i="3" s="1"/>
  <c r="W277" i="3"/>
  <c r="W275" i="3"/>
  <c r="AG275" i="3" s="1"/>
  <c r="W272" i="3"/>
  <c r="W268" i="3"/>
  <c r="W265" i="3"/>
  <c r="W263" i="3"/>
  <c r="W261" i="3"/>
  <c r="W255" i="3"/>
  <c r="W251" i="3"/>
  <c r="W249" i="3"/>
  <c r="W246" i="3"/>
  <c r="W241" i="3"/>
  <c r="W240" i="3" s="1"/>
  <c r="W238" i="3"/>
  <c r="W235" i="3"/>
  <c r="W233" i="3"/>
  <c r="AF233" i="3" s="1"/>
  <c r="W231" i="3"/>
  <c r="W226" i="3"/>
  <c r="W224" i="3" s="1"/>
  <c r="W222" i="3"/>
  <c r="W217" i="3"/>
  <c r="W214" i="3"/>
  <c r="W211" i="3"/>
  <c r="W206" i="3"/>
  <c r="W199" i="3"/>
  <c r="W196" i="3"/>
  <c r="W191" i="3"/>
  <c r="W186" i="3"/>
  <c r="AG186" i="3" s="1"/>
  <c r="W180" i="3"/>
  <c r="W175" i="3"/>
  <c r="W169" i="3"/>
  <c r="W163" i="3"/>
  <c r="W159" i="3"/>
  <c r="W152" i="3"/>
  <c r="W144" i="3"/>
  <c r="W139" i="3"/>
  <c r="W137" i="3"/>
  <c r="W133" i="3"/>
  <c r="W130" i="3" s="1"/>
  <c r="W128" i="3"/>
  <c r="W121" i="3"/>
  <c r="W120" i="3" s="1"/>
  <c r="W116" i="3"/>
  <c r="W111" i="3"/>
  <c r="W110" i="3" s="1"/>
  <c r="W108" i="3" s="1"/>
  <c r="W107" i="3" s="1"/>
  <c r="W105" i="3"/>
  <c r="AF105" i="3" s="1"/>
  <c r="W101" i="3"/>
  <c r="W99" i="3"/>
  <c r="W94" i="3"/>
  <c r="W91" i="3"/>
  <c r="W87" i="3"/>
  <c r="W84" i="3"/>
  <c r="W77" i="3"/>
  <c r="W76" i="3" s="1"/>
  <c r="W75" i="3" s="1"/>
  <c r="W69" i="3"/>
  <c r="W68" i="3" s="1"/>
  <c r="W66" i="3"/>
  <c r="W64" i="3"/>
  <c r="W62" i="3"/>
  <c r="W60" i="3"/>
  <c r="W58" i="3"/>
  <c r="W56" i="3"/>
  <c r="W45" i="3"/>
  <c r="W44" i="3" s="1"/>
  <c r="W35" i="3"/>
  <c r="W34" i="3" s="1"/>
  <c r="W32" i="3"/>
  <c r="W30" i="3"/>
  <c r="W28" i="3"/>
  <c r="W26" i="3"/>
  <c r="W24" i="3"/>
  <c r="W22" i="3"/>
  <c r="W19" i="3"/>
  <c r="W9" i="3"/>
  <c r="O615" i="3"/>
  <c r="AU615" i="3" s="1"/>
  <c r="O614" i="3"/>
  <c r="AU614" i="3" s="1"/>
  <c r="O613" i="3"/>
  <c r="AU613" i="3" s="1"/>
  <c r="O612" i="3"/>
  <c r="AU612" i="3" s="1"/>
  <c r="O611" i="3"/>
  <c r="AU611" i="3" s="1"/>
  <c r="O610" i="3"/>
  <c r="AU610" i="3" s="1"/>
  <c r="O609" i="3"/>
  <c r="O608" i="3"/>
  <c r="AU608" i="3" s="1"/>
  <c r="O607" i="3"/>
  <c r="AU607" i="3" s="1"/>
  <c r="O606" i="3"/>
  <c r="AU606" i="3" s="1"/>
  <c r="O605" i="3"/>
  <c r="AU605" i="3" s="1"/>
  <c r="O604" i="3"/>
  <c r="AU604" i="3" s="1"/>
  <c r="O603" i="3"/>
  <c r="AU603" i="3" s="1"/>
  <c r="O602" i="3"/>
  <c r="AU602" i="3" s="1"/>
  <c r="O601" i="3"/>
  <c r="O600" i="3"/>
  <c r="AU600" i="3" s="1"/>
  <c r="O599" i="3"/>
  <c r="AU599" i="3" s="1"/>
  <c r="O598" i="3"/>
  <c r="AU598" i="3" s="1"/>
  <c r="O597" i="3"/>
  <c r="AU597" i="3" s="1"/>
  <c r="O596" i="3"/>
  <c r="AU596" i="3" s="1"/>
  <c r="O595" i="3"/>
  <c r="AU595" i="3" s="1"/>
  <c r="O594" i="3"/>
  <c r="AU594" i="3" s="1"/>
  <c r="O593" i="3"/>
  <c r="O592" i="3"/>
  <c r="AU592" i="3" s="1"/>
  <c r="O591" i="3"/>
  <c r="AU591" i="3" s="1"/>
  <c r="O590" i="3"/>
  <c r="AU590" i="3" s="1"/>
  <c r="O589" i="3"/>
  <c r="AU589" i="3" s="1"/>
  <c r="O588" i="3"/>
  <c r="AU588" i="3" s="1"/>
  <c r="O587" i="3"/>
  <c r="AU587" i="3" s="1"/>
  <c r="O586" i="3"/>
  <c r="AU586" i="3" s="1"/>
  <c r="O585" i="3"/>
  <c r="O584" i="3"/>
  <c r="AU584" i="3" s="1"/>
  <c r="O583" i="3"/>
  <c r="AU583" i="3" s="1"/>
  <c r="O582" i="3"/>
  <c r="AU582" i="3" s="1"/>
  <c r="O581" i="3"/>
  <c r="AU581" i="3" s="1"/>
  <c r="O580" i="3"/>
  <c r="AU580" i="3" s="1"/>
  <c r="O579" i="3"/>
  <c r="AU579" i="3" s="1"/>
  <c r="O576" i="3"/>
  <c r="AU576" i="3" s="1"/>
  <c r="O575" i="3"/>
  <c r="O574" i="3"/>
  <c r="O573" i="3"/>
  <c r="AU573" i="3" s="1"/>
  <c r="O572" i="3"/>
  <c r="AU572" i="3" s="1"/>
  <c r="O571" i="3"/>
  <c r="AU571" i="3" s="1"/>
  <c r="O570" i="3"/>
  <c r="AU570" i="3" s="1"/>
  <c r="O569" i="3"/>
  <c r="AU569" i="3" s="1"/>
  <c r="O568" i="3"/>
  <c r="AU568" i="3" s="1"/>
  <c r="O567" i="3"/>
  <c r="O566" i="3"/>
  <c r="AU566" i="3" s="1"/>
  <c r="O565" i="3"/>
  <c r="AU565" i="3" s="1"/>
  <c r="O564" i="3"/>
  <c r="AU564" i="3" s="1"/>
  <c r="O563" i="3"/>
  <c r="AU563" i="3" s="1"/>
  <c r="O562" i="3"/>
  <c r="AU562" i="3" s="1"/>
  <c r="O561" i="3"/>
  <c r="AU561" i="3" s="1"/>
  <c r="O560" i="3"/>
  <c r="AU560" i="3" s="1"/>
  <c r="O559" i="3"/>
  <c r="O558" i="3"/>
  <c r="AU558" i="3" s="1"/>
  <c r="O557" i="3"/>
  <c r="AU557" i="3" s="1"/>
  <c r="O556" i="3"/>
  <c r="AU556" i="3" s="1"/>
  <c r="O555" i="3"/>
  <c r="AU555" i="3" s="1"/>
  <c r="O554" i="3"/>
  <c r="AU554" i="3" s="1"/>
  <c r="O553" i="3"/>
  <c r="AU553" i="3" s="1"/>
  <c r="O552" i="3"/>
  <c r="AU552" i="3" s="1"/>
  <c r="O551" i="3"/>
  <c r="O550" i="3"/>
  <c r="AU550" i="3" s="1"/>
  <c r="O549" i="3"/>
  <c r="AU549" i="3" s="1"/>
  <c r="O548" i="3"/>
  <c r="AU548" i="3" s="1"/>
  <c r="O547" i="3"/>
  <c r="AU547" i="3" s="1"/>
  <c r="O546" i="3"/>
  <c r="AU546" i="3" s="1"/>
  <c r="O545" i="3"/>
  <c r="AU545" i="3" s="1"/>
  <c r="O544" i="3"/>
  <c r="AU544" i="3" s="1"/>
  <c r="O543" i="3"/>
  <c r="O542" i="3"/>
  <c r="AU542" i="3" s="1"/>
  <c r="O541" i="3"/>
  <c r="AU541" i="3" s="1"/>
  <c r="O540" i="3"/>
  <c r="AU540" i="3" s="1"/>
  <c r="O539" i="3"/>
  <c r="AU539" i="3" s="1"/>
  <c r="O538" i="3"/>
  <c r="AU538" i="3" s="1"/>
  <c r="O537" i="3"/>
  <c r="AU537" i="3" s="1"/>
  <c r="O536" i="3"/>
  <c r="AU536" i="3" s="1"/>
  <c r="O535" i="3"/>
  <c r="O534" i="3"/>
  <c r="AU534" i="3" s="1"/>
  <c r="O533" i="3"/>
  <c r="AU533" i="3" s="1"/>
  <c r="O532" i="3"/>
  <c r="AU532" i="3" s="1"/>
  <c r="O531" i="3"/>
  <c r="AU531" i="3" s="1"/>
  <c r="O530" i="3"/>
  <c r="AU530" i="3" s="1"/>
  <c r="O529" i="3"/>
  <c r="AU529" i="3" s="1"/>
  <c r="O528" i="3"/>
  <c r="AU528" i="3" s="1"/>
  <c r="O527" i="3"/>
  <c r="O526" i="3"/>
  <c r="AU526" i="3" s="1"/>
  <c r="O525" i="3"/>
  <c r="AU525" i="3" s="1"/>
  <c r="O524" i="3"/>
  <c r="AU524" i="3" s="1"/>
  <c r="O523" i="3"/>
  <c r="AU523" i="3" s="1"/>
  <c r="O522" i="3"/>
  <c r="AU522" i="3" s="1"/>
  <c r="O521" i="3"/>
  <c r="AU521" i="3" s="1"/>
  <c r="O520" i="3"/>
  <c r="AU520" i="3" s="1"/>
  <c r="O519" i="3"/>
  <c r="O518" i="3"/>
  <c r="AU518" i="3" s="1"/>
  <c r="O517" i="3"/>
  <c r="AU517" i="3" s="1"/>
  <c r="O516" i="3"/>
  <c r="AU516" i="3" s="1"/>
  <c r="O515" i="3"/>
  <c r="AU515" i="3" s="1"/>
  <c r="O514" i="3"/>
  <c r="AU514" i="3" s="1"/>
  <c r="O513" i="3"/>
  <c r="AU513" i="3" s="1"/>
  <c r="O512" i="3"/>
  <c r="AU512" i="3" s="1"/>
  <c r="O511" i="3"/>
  <c r="O510" i="3"/>
  <c r="AU510" i="3" s="1"/>
  <c r="O509" i="3"/>
  <c r="AU509" i="3" s="1"/>
  <c r="O508" i="3"/>
  <c r="AU508" i="3" s="1"/>
  <c r="O507" i="3"/>
  <c r="AU507" i="3" s="1"/>
  <c r="O506" i="3"/>
  <c r="AU506" i="3" s="1"/>
  <c r="O505" i="3"/>
  <c r="AU505" i="3" s="1"/>
  <c r="O504" i="3"/>
  <c r="AU504" i="3" s="1"/>
  <c r="O503" i="3"/>
  <c r="O502" i="3"/>
  <c r="AU502" i="3" s="1"/>
  <c r="O501" i="3"/>
  <c r="AU501" i="3" s="1"/>
  <c r="O500" i="3"/>
  <c r="AU500" i="3" s="1"/>
  <c r="O499" i="3"/>
  <c r="AU499" i="3" s="1"/>
  <c r="O498" i="3"/>
  <c r="AU498" i="3" s="1"/>
  <c r="O497" i="3"/>
  <c r="AU497" i="3" s="1"/>
  <c r="O496" i="3"/>
  <c r="AU496" i="3" s="1"/>
  <c r="O495" i="3"/>
  <c r="O494" i="3"/>
  <c r="AU494" i="3" s="1"/>
  <c r="O493" i="3"/>
  <c r="AU493" i="3" s="1"/>
  <c r="O492" i="3"/>
  <c r="AU492" i="3" s="1"/>
  <c r="O491" i="3"/>
  <c r="AU491" i="3" s="1"/>
  <c r="O490" i="3"/>
  <c r="AU490" i="3" s="1"/>
  <c r="O489" i="3"/>
  <c r="AU489" i="3" s="1"/>
  <c r="O488" i="3"/>
  <c r="AU488" i="3" s="1"/>
  <c r="O487" i="3"/>
  <c r="O486" i="3"/>
  <c r="AU486" i="3" s="1"/>
  <c r="O485" i="3"/>
  <c r="AU485" i="3" s="1"/>
  <c r="O484" i="3"/>
  <c r="AU484" i="3" s="1"/>
  <c r="O483" i="3"/>
  <c r="AU483" i="3" s="1"/>
  <c r="O482" i="3"/>
  <c r="AU482" i="3" s="1"/>
  <c r="O481" i="3"/>
  <c r="AU481" i="3" s="1"/>
  <c r="O480" i="3"/>
  <c r="AU480" i="3" s="1"/>
  <c r="O479" i="3"/>
  <c r="O478" i="3"/>
  <c r="AU478" i="3" s="1"/>
  <c r="O477" i="3"/>
  <c r="AU477" i="3" s="1"/>
  <c r="O476" i="3"/>
  <c r="AU476" i="3" s="1"/>
  <c r="O475" i="3"/>
  <c r="AU475" i="3" s="1"/>
  <c r="O474" i="3"/>
  <c r="AU474" i="3" s="1"/>
  <c r="O473" i="3"/>
  <c r="AU473" i="3" s="1"/>
  <c r="O472" i="3"/>
  <c r="AU472" i="3" s="1"/>
  <c r="O471" i="3"/>
  <c r="O470" i="3"/>
  <c r="AU470" i="3" s="1"/>
  <c r="O469" i="3"/>
  <c r="AU469" i="3" s="1"/>
  <c r="O468" i="3"/>
  <c r="AU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M207" i="10" l="1"/>
  <c r="M304" i="10"/>
  <c r="C116" i="10"/>
  <c r="C75" i="10" s="1"/>
  <c r="M644" i="10"/>
  <c r="I303" i="10"/>
  <c r="F116" i="10"/>
  <c r="F75" i="10" s="1"/>
  <c r="S37" i="5"/>
  <c r="S10" i="5" s="1"/>
  <c r="S9" i="5" s="1"/>
  <c r="S8" i="5" s="1"/>
  <c r="J153" i="10"/>
  <c r="Q153" i="10"/>
  <c r="O627" i="10"/>
  <c r="J118" i="10"/>
  <c r="Q118" i="10"/>
  <c r="P9" i="10"/>
  <c r="J233" i="10"/>
  <c r="Q233" i="10"/>
  <c r="J300" i="10"/>
  <c r="Q300" i="10"/>
  <c r="J440" i="10"/>
  <c r="Q440" i="10"/>
  <c r="J188" i="10"/>
  <c r="Q188" i="10"/>
  <c r="J209" i="10"/>
  <c r="Q209" i="10"/>
  <c r="J270" i="10"/>
  <c r="Q270" i="10"/>
  <c r="N9" i="10"/>
  <c r="J399" i="10"/>
  <c r="Q399" i="10"/>
  <c r="J257" i="10"/>
  <c r="Q257" i="10"/>
  <c r="J123" i="10"/>
  <c r="Q123" i="10"/>
  <c r="D303" i="10"/>
  <c r="J409" i="10"/>
  <c r="Q409" i="10"/>
  <c r="J389" i="10"/>
  <c r="Q389" i="10"/>
  <c r="H625" i="10"/>
  <c r="H624" i="10" s="1"/>
  <c r="J243" i="10"/>
  <c r="Q243" i="10"/>
  <c r="J469" i="10"/>
  <c r="Q469" i="10"/>
  <c r="J268" i="10"/>
  <c r="Q268" i="10"/>
  <c r="G208" i="10"/>
  <c r="J11" i="10"/>
  <c r="Q11" i="10"/>
  <c r="J193" i="10"/>
  <c r="Q193" i="10"/>
  <c r="M643" i="10"/>
  <c r="J580" i="10"/>
  <c r="Q580" i="10"/>
  <c r="J71" i="10"/>
  <c r="Q71" i="10"/>
  <c r="C626" i="10"/>
  <c r="G626" i="10" s="1"/>
  <c r="J37" i="10"/>
  <c r="Q37" i="10"/>
  <c r="J139" i="10"/>
  <c r="Q139" i="10"/>
  <c r="J47" i="10"/>
  <c r="Q47" i="10"/>
  <c r="M630" i="10"/>
  <c r="Q643" i="10"/>
  <c r="J643" i="10"/>
  <c r="F625" i="10"/>
  <c r="F624" i="10" s="1"/>
  <c r="R57" i="5"/>
  <c r="W57" i="5" s="1"/>
  <c r="P304" i="10"/>
  <c r="Q631" i="10"/>
  <c r="R346" i="10"/>
  <c r="R345" i="10" s="1"/>
  <c r="R303" i="10" s="1"/>
  <c r="E630" i="10"/>
  <c r="E629" i="10" s="1"/>
  <c r="E625" i="10" s="1"/>
  <c r="E624" i="10" s="1"/>
  <c r="L116" i="10"/>
  <c r="L75" i="10" s="1"/>
  <c r="L8" i="10" s="1"/>
  <c r="L622" i="10" s="1"/>
  <c r="C9" i="10"/>
  <c r="E116" i="10"/>
  <c r="E75" i="10" s="1"/>
  <c r="AU574" i="3"/>
  <c r="Q634" i="10"/>
  <c r="I629" i="10"/>
  <c r="M629" i="10" s="1"/>
  <c r="H303" i="10"/>
  <c r="V38" i="5"/>
  <c r="J86" i="10"/>
  <c r="F303" i="10"/>
  <c r="F8" i="10" s="1"/>
  <c r="F622" i="10" s="1"/>
  <c r="G287" i="10"/>
  <c r="J288" i="10"/>
  <c r="J330" i="10"/>
  <c r="G426" i="10"/>
  <c r="J427" i="10"/>
  <c r="V56" i="5"/>
  <c r="V37" i="5" s="1"/>
  <c r="G445" i="10"/>
  <c r="Q445" i="10" s="1"/>
  <c r="J446" i="10"/>
  <c r="O116" i="10"/>
  <c r="O75" i="10" s="1"/>
  <c r="O8" i="10" s="1"/>
  <c r="O622" i="10" s="1"/>
  <c r="G305" i="10"/>
  <c r="Q305" i="10" s="1"/>
  <c r="J308" i="10"/>
  <c r="H207" i="10"/>
  <c r="H116" i="10" s="1"/>
  <c r="H75" i="10" s="1"/>
  <c r="G46" i="10"/>
  <c r="J58" i="10"/>
  <c r="Q638" i="10"/>
  <c r="R630" i="10"/>
  <c r="R629" i="10" s="1"/>
  <c r="P117" i="10"/>
  <c r="P116" i="10" s="1"/>
  <c r="P75" i="10" s="1"/>
  <c r="G78" i="10"/>
  <c r="J79" i="10"/>
  <c r="G318" i="10"/>
  <c r="Q318" i="10" s="1"/>
  <c r="J319" i="10"/>
  <c r="G433" i="10"/>
  <c r="Q433" i="10" s="1"/>
  <c r="J434" i="10"/>
  <c r="K116" i="10"/>
  <c r="K75" i="10" s="1"/>
  <c r="K8" i="10" s="1"/>
  <c r="K622" i="10" s="1"/>
  <c r="G292" i="10"/>
  <c r="Q292" i="10" s="1"/>
  <c r="J293" i="10"/>
  <c r="G465" i="10"/>
  <c r="J466" i="10"/>
  <c r="G347" i="10"/>
  <c r="Q347" i="10" s="1"/>
  <c r="J348" i="10"/>
  <c r="G419" i="10"/>
  <c r="J420" i="10"/>
  <c r="G283" i="10"/>
  <c r="Q283" i="10" s="1"/>
  <c r="J284" i="10"/>
  <c r="G111" i="10"/>
  <c r="Q111" i="10" s="1"/>
  <c r="J113" i="10"/>
  <c r="G335" i="10"/>
  <c r="J336" i="10"/>
  <c r="R207" i="10"/>
  <c r="R116" i="10" s="1"/>
  <c r="R75" i="10" s="1"/>
  <c r="G10" i="10"/>
  <c r="G9" i="10" s="1"/>
  <c r="J24" i="10"/>
  <c r="P8" i="5"/>
  <c r="G296" i="10"/>
  <c r="J297" i="10"/>
  <c r="G224" i="10"/>
  <c r="Q224" i="10" s="1"/>
  <c r="J227" i="10"/>
  <c r="G340" i="10"/>
  <c r="J341" i="10"/>
  <c r="K630" i="10"/>
  <c r="K629" i="10" s="1"/>
  <c r="K625" i="10" s="1"/>
  <c r="K624" i="10" s="1"/>
  <c r="V26" i="5"/>
  <c r="V25" i="5" s="1"/>
  <c r="V20" i="5" s="1"/>
  <c r="V10" i="5" s="1"/>
  <c r="V9" i="5" s="1"/>
  <c r="V8" i="5" s="1"/>
  <c r="Q640" i="10"/>
  <c r="M117" i="10"/>
  <c r="G117" i="10"/>
  <c r="I8" i="10"/>
  <c r="I622" i="10" s="1"/>
  <c r="N625" i="10"/>
  <c r="N624" i="10" s="1"/>
  <c r="R626" i="10"/>
  <c r="P303" i="10"/>
  <c r="C8" i="10"/>
  <c r="C622" i="10" s="1"/>
  <c r="Q8" i="5"/>
  <c r="G240" i="10"/>
  <c r="Q240" i="10" s="1"/>
  <c r="R38" i="5"/>
  <c r="W38" i="5" s="1"/>
  <c r="C630" i="10"/>
  <c r="C629" i="10" s="1"/>
  <c r="J628" i="10"/>
  <c r="Q628" i="10"/>
  <c r="P8" i="10"/>
  <c r="P622" i="10" s="1"/>
  <c r="D207" i="10"/>
  <c r="D116" i="10" s="1"/>
  <c r="D75" i="10" s="1"/>
  <c r="D8" i="10" s="1"/>
  <c r="D622" i="10" s="1"/>
  <c r="M627" i="10"/>
  <c r="M303" i="10"/>
  <c r="R9" i="10"/>
  <c r="M116" i="10"/>
  <c r="M75" i="10" s="1"/>
  <c r="L625" i="10"/>
  <c r="L624" i="10" s="1"/>
  <c r="P627" i="10"/>
  <c r="O626" i="10"/>
  <c r="P630" i="10"/>
  <c r="O629" i="10"/>
  <c r="J639" i="10"/>
  <c r="Q639" i="10"/>
  <c r="J642" i="10"/>
  <c r="Q642" i="10"/>
  <c r="G627" i="10"/>
  <c r="J649" i="10"/>
  <c r="Q649" i="10"/>
  <c r="N8" i="10"/>
  <c r="N622" i="10" s="1"/>
  <c r="D629" i="10"/>
  <c r="D625" i="10" s="1"/>
  <c r="D624" i="10" s="1"/>
  <c r="G644" i="10"/>
  <c r="E8" i="10"/>
  <c r="E622" i="10" s="1"/>
  <c r="M626" i="10"/>
  <c r="I625" i="10"/>
  <c r="T8" i="5"/>
  <c r="R56" i="5"/>
  <c r="R14" i="5"/>
  <c r="W15" i="5"/>
  <c r="I8" i="5"/>
  <c r="U96" i="5"/>
  <c r="W97" i="5"/>
  <c r="W119" i="5"/>
  <c r="R118" i="5"/>
  <c r="W21" i="5"/>
  <c r="U83" i="5"/>
  <c r="W84" i="5"/>
  <c r="W71" i="5"/>
  <c r="U70" i="5"/>
  <c r="W128" i="5"/>
  <c r="U123" i="5"/>
  <c r="W123" i="5" s="1"/>
  <c r="W26" i="5"/>
  <c r="U25" i="5"/>
  <c r="W25" i="5" s="1"/>
  <c r="D10" i="5"/>
  <c r="D9" i="5" s="1"/>
  <c r="H8" i="5"/>
  <c r="AU471" i="3"/>
  <c r="AU479" i="3"/>
  <c r="AU487" i="3"/>
  <c r="AU495" i="3"/>
  <c r="AU503" i="3"/>
  <c r="AU511" i="3"/>
  <c r="AU519" i="3"/>
  <c r="AU527" i="3"/>
  <c r="AU535" i="3"/>
  <c r="AU543" i="3"/>
  <c r="AU551" i="3"/>
  <c r="AU559" i="3"/>
  <c r="AU567" i="3"/>
  <c r="AU575" i="3"/>
  <c r="AU585" i="3"/>
  <c r="AU593" i="3"/>
  <c r="AU601" i="3"/>
  <c r="AU609" i="3"/>
  <c r="W396" i="3"/>
  <c r="W254" i="3"/>
  <c r="W237" i="3" s="1"/>
  <c r="W305" i="3"/>
  <c r="W302" i="3" s="1"/>
  <c r="W345" i="3"/>
  <c r="W344" i="3" s="1"/>
  <c r="AL467" i="3"/>
  <c r="W190" i="3"/>
  <c r="W221" i="3"/>
  <c r="W8" i="3"/>
  <c r="W136" i="3"/>
  <c r="AF467" i="3"/>
  <c r="AU467" i="3" s="1"/>
  <c r="W55" i="3"/>
  <c r="W43" i="3" s="1"/>
  <c r="AF186" i="3"/>
  <c r="W83" i="3"/>
  <c r="W74" i="3" s="1"/>
  <c r="W73" i="3" s="1"/>
  <c r="W326" i="3"/>
  <c r="W386" i="3"/>
  <c r="W230" i="3"/>
  <c r="W466" i="3"/>
  <c r="W316" i="3"/>
  <c r="W315" i="3" s="1"/>
  <c r="W314" i="3" s="1"/>
  <c r="W416" i="3"/>
  <c r="W415" i="3" s="1"/>
  <c r="AF417" i="3"/>
  <c r="AG418" i="3"/>
  <c r="AG235" i="3"/>
  <c r="AF235" i="3"/>
  <c r="W185" i="3"/>
  <c r="W150" i="3" s="1"/>
  <c r="AF275" i="3"/>
  <c r="AF411" i="3"/>
  <c r="AG105" i="3"/>
  <c r="AG233" i="3"/>
  <c r="AG425" i="3"/>
  <c r="W422" i="3"/>
  <c r="AF420" i="3"/>
  <c r="W115" i="3"/>
  <c r="W267" i="3"/>
  <c r="W288" i="3"/>
  <c r="AF413" i="3"/>
  <c r="W21" i="3"/>
  <c r="W430" i="3"/>
  <c r="W429" i="3" s="1"/>
  <c r="W443" i="3"/>
  <c r="W442" i="3" s="1"/>
  <c r="W441" i="3" s="1"/>
  <c r="AF406" i="3"/>
  <c r="W405" i="3"/>
  <c r="AF408" i="3"/>
  <c r="AF424" i="3"/>
  <c r="W205" i="3"/>
  <c r="W279" i="3"/>
  <c r="H8" i="10" l="1"/>
  <c r="H622" i="10" s="1"/>
  <c r="J9" i="10"/>
  <c r="Q9" i="10"/>
  <c r="J117" i="10"/>
  <c r="Q117" i="10"/>
  <c r="J335" i="10"/>
  <c r="Q335" i="10"/>
  <c r="J46" i="10"/>
  <c r="Q46" i="10"/>
  <c r="J208" i="10"/>
  <c r="Q208" i="10"/>
  <c r="J340" i="10"/>
  <c r="Q340" i="10"/>
  <c r="J426" i="10"/>
  <c r="Q426" i="10"/>
  <c r="J296" i="10"/>
  <c r="Q296" i="10"/>
  <c r="J465" i="10"/>
  <c r="Q465" i="10"/>
  <c r="R625" i="10"/>
  <c r="R624" i="10" s="1"/>
  <c r="K621" i="10"/>
  <c r="J78" i="10"/>
  <c r="Q78" i="10"/>
  <c r="R37" i="5"/>
  <c r="P629" i="10"/>
  <c r="J287" i="10"/>
  <c r="Q287" i="10"/>
  <c r="J419" i="10"/>
  <c r="Q419" i="10"/>
  <c r="J10" i="10"/>
  <c r="Q10" i="10"/>
  <c r="AS10" i="10" s="1"/>
  <c r="G630" i="10"/>
  <c r="J630" i="10" s="1"/>
  <c r="N621" i="10"/>
  <c r="G629" i="10"/>
  <c r="J629" i="10" s="1"/>
  <c r="L621" i="10"/>
  <c r="G317" i="10"/>
  <c r="J318" i="10"/>
  <c r="G110" i="10"/>
  <c r="J111" i="10"/>
  <c r="J305" i="10"/>
  <c r="G329" i="10"/>
  <c r="G282" i="10"/>
  <c r="J283" i="10"/>
  <c r="J292" i="10"/>
  <c r="G291" i="10"/>
  <c r="G444" i="10"/>
  <c r="J445" i="10"/>
  <c r="G432" i="10"/>
  <c r="J433" i="10"/>
  <c r="J240" i="10"/>
  <c r="J224" i="10"/>
  <c r="G223" i="10"/>
  <c r="G346" i="10"/>
  <c r="Q346" i="10" s="1"/>
  <c r="J347" i="10"/>
  <c r="M8" i="10"/>
  <c r="M622" i="10" s="1"/>
  <c r="R8" i="10"/>
  <c r="R622" i="10" s="1"/>
  <c r="R621" i="10" s="1"/>
  <c r="C625" i="10"/>
  <c r="C624" i="10" s="1"/>
  <c r="J644" i="10"/>
  <c r="Q644" i="10"/>
  <c r="Q629" i="10"/>
  <c r="J626" i="10"/>
  <c r="Q626" i="10"/>
  <c r="M625" i="10"/>
  <c r="I624" i="10"/>
  <c r="M624" i="10" s="1"/>
  <c r="P626" i="10"/>
  <c r="O625" i="10"/>
  <c r="J627" i="10"/>
  <c r="Q627" i="10"/>
  <c r="R13" i="5"/>
  <c r="W14" i="5"/>
  <c r="U20" i="5"/>
  <c r="W70" i="5"/>
  <c r="U56" i="5"/>
  <c r="W118" i="5"/>
  <c r="R92" i="5"/>
  <c r="R91" i="5" s="1"/>
  <c r="W83" i="5"/>
  <c r="U78" i="5"/>
  <c r="W78" i="5" s="1"/>
  <c r="U95" i="5"/>
  <c r="W96" i="5"/>
  <c r="D8" i="5"/>
  <c r="W343" i="3"/>
  <c r="W342" i="3" s="1"/>
  <c r="W220" i="3"/>
  <c r="W204" i="3" s="1"/>
  <c r="W7" i="3"/>
  <c r="W6" i="3" s="1"/>
  <c r="AF466" i="3"/>
  <c r="AU466" i="3" s="1"/>
  <c r="AL466" i="3"/>
  <c r="AG466" i="3"/>
  <c r="AV466" i="3" s="1"/>
  <c r="W301" i="3"/>
  <c r="W114" i="3"/>
  <c r="J432" i="10" l="1"/>
  <c r="Q432" i="10"/>
  <c r="J110" i="10"/>
  <c r="Q110" i="10"/>
  <c r="J329" i="10"/>
  <c r="Q329" i="10"/>
  <c r="J291" i="10"/>
  <c r="Q291" i="10"/>
  <c r="J444" i="10"/>
  <c r="Q444" i="10"/>
  <c r="J223" i="10"/>
  <c r="Q223" i="10"/>
  <c r="J317" i="10"/>
  <c r="Q317" i="10"/>
  <c r="Q630" i="10"/>
  <c r="M621" i="10"/>
  <c r="J282" i="10"/>
  <c r="Q282" i="10"/>
  <c r="G77" i="10"/>
  <c r="Q77" i="10" s="1"/>
  <c r="G625" i="10"/>
  <c r="G304" i="10"/>
  <c r="Q304" i="10" s="1"/>
  <c r="G345" i="10"/>
  <c r="Q345" i="10" s="1"/>
  <c r="J346" i="10"/>
  <c r="G207" i="10"/>
  <c r="Q207" i="10" s="1"/>
  <c r="W300" i="3"/>
  <c r="P625" i="10"/>
  <c r="O624" i="10"/>
  <c r="G624" i="10"/>
  <c r="C621" i="10"/>
  <c r="J625" i="10"/>
  <c r="Q625" i="10"/>
  <c r="R12" i="5"/>
  <c r="W13" i="5"/>
  <c r="W56" i="5"/>
  <c r="U37" i="5"/>
  <c r="W37" i="5" s="1"/>
  <c r="U94" i="5"/>
  <c r="W95" i="5"/>
  <c r="W20" i="5"/>
  <c r="W113" i="3"/>
  <c r="W72" i="3" s="1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G116" i="10" l="1"/>
  <c r="Q116" i="10" s="1"/>
  <c r="J207" i="10"/>
  <c r="J345" i="10"/>
  <c r="G76" i="10"/>
  <c r="J77" i="10"/>
  <c r="J304" i="10"/>
  <c r="G303" i="10"/>
  <c r="W5" i="3"/>
  <c r="J624" i="10"/>
  <c r="Q624" i="10"/>
  <c r="P624" i="10"/>
  <c r="P621" i="10" s="1"/>
  <c r="O621" i="10"/>
  <c r="R11" i="5"/>
  <c r="W12" i="5"/>
  <c r="U10" i="5"/>
  <c r="W94" i="5"/>
  <c r="U93" i="5"/>
  <c r="U133" i="3"/>
  <c r="J303" i="10" l="1"/>
  <c r="Q303" i="10"/>
  <c r="J76" i="10"/>
  <c r="Q76" i="10"/>
  <c r="G75" i="10"/>
  <c r="Q75" i="10" s="1"/>
  <c r="J116" i="10"/>
  <c r="W11" i="5"/>
  <c r="R10" i="5"/>
  <c r="R9" i="5" s="1"/>
  <c r="R8" i="5" s="1"/>
  <c r="U9" i="5"/>
  <c r="W93" i="5"/>
  <c r="U92" i="5"/>
  <c r="O16" i="2"/>
  <c r="O13" i="2"/>
  <c r="O148" i="2"/>
  <c r="O147" i="2"/>
  <c r="O146" i="2"/>
  <c r="O145" i="2"/>
  <c r="O144" i="2"/>
  <c r="O143" i="2"/>
  <c r="O142" i="2"/>
  <c r="O141" i="2"/>
  <c r="O140" i="2"/>
  <c r="O139" i="2"/>
  <c r="O133" i="2"/>
  <c r="O128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6" i="2"/>
  <c r="O85" i="2"/>
  <c r="O84" i="2"/>
  <c r="O83" i="2"/>
  <c r="O79" i="2"/>
  <c r="O74" i="2"/>
  <c r="O71" i="2"/>
  <c r="O69" i="2"/>
  <c r="O66" i="2"/>
  <c r="O63" i="2"/>
  <c r="O62" i="2"/>
  <c r="O61" i="2"/>
  <c r="O59" i="2"/>
  <c r="O58" i="2"/>
  <c r="O57" i="2"/>
  <c r="O56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J75" i="10" l="1"/>
  <c r="G8" i="10"/>
  <c r="Q8" i="10" s="1"/>
  <c r="Q622" i="10" s="1"/>
  <c r="Q621" i="10" s="1"/>
  <c r="W10" i="5"/>
  <c r="W9" i="5"/>
  <c r="W92" i="5"/>
  <c r="U91" i="5"/>
  <c r="W91" i="5" s="1"/>
  <c r="AF40" i="2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U131" i="2" s="1"/>
  <c r="U130" i="2" s="1"/>
  <c r="U129" i="2" s="1"/>
  <c r="T132" i="2"/>
  <c r="T131" i="2" s="1"/>
  <c r="T130" i="2" s="1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V82" i="2"/>
  <c r="V81" i="2" s="1"/>
  <c r="V80" i="2" s="1"/>
  <c r="U82" i="2"/>
  <c r="U81" i="2" s="1"/>
  <c r="U80" i="2" s="1"/>
  <c r="T82" i="2"/>
  <c r="T81" i="2" s="1"/>
  <c r="T80" i="2" s="1"/>
  <c r="V78" i="2"/>
  <c r="V77" i="2" s="1"/>
  <c r="V76" i="2" s="1"/>
  <c r="U78" i="2"/>
  <c r="U77" i="2" s="1"/>
  <c r="U76" i="2" s="1"/>
  <c r="T78" i="2"/>
  <c r="T77" i="2" s="1"/>
  <c r="T76" i="2" s="1"/>
  <c r="V73" i="2"/>
  <c r="V72" i="2" s="1"/>
  <c r="U73" i="2"/>
  <c r="U72" i="2" s="1"/>
  <c r="T73" i="2"/>
  <c r="T72" i="2" s="1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U60" i="2"/>
  <c r="T60" i="2"/>
  <c r="V55" i="2"/>
  <c r="U55" i="2"/>
  <c r="T55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8" i="2"/>
  <c r="AF13" i="2"/>
  <c r="BG13" i="2" s="1"/>
  <c r="U15" i="2"/>
  <c r="U14" i="2" s="1"/>
  <c r="U12" i="2" s="1"/>
  <c r="U11" i="2" s="1"/>
  <c r="U10" i="2" s="1"/>
  <c r="U9" i="2" s="1"/>
  <c r="U8" i="2" s="1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G122" i="2" s="1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G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G112" i="2" s="1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F47" i="2" s="1"/>
  <c r="BE48" i="2"/>
  <c r="BE47" i="2" s="1"/>
  <c r="BD48" i="2"/>
  <c r="BB48" i="2"/>
  <c r="BA48" i="2"/>
  <c r="BA47" i="2" s="1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T54" i="2" l="1"/>
  <c r="J8" i="10"/>
  <c r="J622" i="10" s="1"/>
  <c r="J621" i="10" s="1"/>
  <c r="G622" i="10"/>
  <c r="S8" i="10"/>
  <c r="U8" i="5"/>
  <c r="W8" i="5" s="1"/>
  <c r="T47" i="2"/>
  <c r="U23" i="2"/>
  <c r="U22" i="2" s="1"/>
  <c r="U17" i="2" s="1"/>
  <c r="V23" i="2"/>
  <c r="V22" i="2" s="1"/>
  <c r="V17" i="2" s="1"/>
  <c r="AZ47" i="2"/>
  <c r="V54" i="2"/>
  <c r="BG117" i="2"/>
  <c r="V87" i="2"/>
  <c r="U87" i="2"/>
  <c r="T75" i="2"/>
  <c r="U75" i="2"/>
  <c r="V75" i="2"/>
  <c r="T67" i="2"/>
  <c r="T53" i="2" s="1"/>
  <c r="U67" i="2"/>
  <c r="V67" i="2"/>
  <c r="U54" i="2"/>
  <c r="U47" i="2"/>
  <c r="V47" i="2"/>
  <c r="T36" i="2"/>
  <c r="U36" i="2"/>
  <c r="V36" i="2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F35" i="2" s="1"/>
  <c r="BC117" i="2"/>
  <c r="BC116" i="2" s="1"/>
  <c r="BC115" i="2" s="1"/>
  <c r="BC114" i="2" s="1"/>
  <c r="BB88" i="2"/>
  <c r="BE54" i="2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A35" i="2" s="1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G121" i="2" s="1"/>
  <c r="BE36" i="2"/>
  <c r="BE35" i="2" s="1"/>
  <c r="BF67" i="2"/>
  <c r="AZ119" i="2"/>
  <c r="BF124" i="2"/>
  <c r="BF130" i="2"/>
  <c r="BC37" i="2"/>
  <c r="BA54" i="2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G115" i="2" s="1"/>
  <c r="BF111" i="2"/>
  <c r="BG111" i="2" s="1"/>
  <c r="BC132" i="2"/>
  <c r="BC131" i="2" s="1"/>
  <c r="BC130" i="2" s="1"/>
  <c r="BC129" i="2" s="1"/>
  <c r="BC127" i="2"/>
  <c r="BC138" i="2"/>
  <c r="X16" i="5"/>
  <c r="X18" i="5"/>
  <c r="X19" i="5"/>
  <c r="X24" i="5"/>
  <c r="X28" i="5"/>
  <c r="X29" i="5"/>
  <c r="X30" i="5"/>
  <c r="X31" i="5"/>
  <c r="X33" i="5"/>
  <c r="X34" i="5"/>
  <c r="X35" i="5"/>
  <c r="X36" i="5"/>
  <c r="X41" i="5"/>
  <c r="X42" i="5"/>
  <c r="X43" i="5"/>
  <c r="X45" i="5"/>
  <c r="X46" i="5"/>
  <c r="X47" i="5"/>
  <c r="X49" i="5"/>
  <c r="X52" i="5"/>
  <c r="X53" i="5"/>
  <c r="X55" i="5"/>
  <c r="X59" i="5"/>
  <c r="X60" i="5"/>
  <c r="X61" i="5"/>
  <c r="X62" i="5"/>
  <c r="X64" i="5"/>
  <c r="X65" i="5"/>
  <c r="X66" i="5"/>
  <c r="X69" i="5"/>
  <c r="X72" i="5"/>
  <c r="X74" i="5"/>
  <c r="X77" i="5"/>
  <c r="X82" i="5"/>
  <c r="X86" i="5"/>
  <c r="X87" i="5"/>
  <c r="X88" i="5"/>
  <c r="X89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6" i="5"/>
  <c r="X121" i="5"/>
  <c r="X126" i="5"/>
  <c r="X131" i="5"/>
  <c r="X136" i="5"/>
  <c r="X142" i="5"/>
  <c r="X143" i="5"/>
  <c r="X144" i="5"/>
  <c r="X145" i="5"/>
  <c r="X146" i="5"/>
  <c r="X147" i="5"/>
  <c r="X148" i="5"/>
  <c r="X149" i="5"/>
  <c r="X150" i="5"/>
  <c r="X151" i="5"/>
  <c r="F47" i="5"/>
  <c r="F43" i="5"/>
  <c r="F42" i="5"/>
  <c r="C44" i="5"/>
  <c r="C62" i="9"/>
  <c r="D62" i="9" s="1"/>
  <c r="G121" i="5"/>
  <c r="G120" i="5" s="1"/>
  <c r="G119" i="5" s="1"/>
  <c r="G118" i="5" s="1"/>
  <c r="G92" i="5" s="1"/>
  <c r="G91" i="5" s="1"/>
  <c r="E121" i="5"/>
  <c r="E120" i="5" s="1"/>
  <c r="E119" i="5" s="1"/>
  <c r="E118" i="5" s="1"/>
  <c r="E92" i="5" s="1"/>
  <c r="E91" i="5" s="1"/>
  <c r="C60" i="9"/>
  <c r="D60" i="9" s="1"/>
  <c r="X71" i="5"/>
  <c r="E68" i="5"/>
  <c r="E67" i="5" s="1"/>
  <c r="E57" i="5" s="1"/>
  <c r="E56" i="5" s="1"/>
  <c r="E37" i="5" s="1"/>
  <c r="X32" i="5"/>
  <c r="C48" i="5"/>
  <c r="C40" i="5"/>
  <c r="AZ35" i="2" l="1"/>
  <c r="G10" i="5"/>
  <c r="G9" i="5" s="1"/>
  <c r="G8" i="5" s="1"/>
  <c r="E10" i="5"/>
  <c r="E9" i="5" s="1"/>
  <c r="E8" i="5" s="1"/>
  <c r="BA53" i="2"/>
  <c r="T35" i="2"/>
  <c r="T34" i="2" s="1"/>
  <c r="X48" i="5"/>
  <c r="X127" i="5"/>
  <c r="X40" i="5"/>
  <c r="X67" i="5"/>
  <c r="X84" i="5"/>
  <c r="X17" i="5"/>
  <c r="X73" i="5"/>
  <c r="X44" i="5"/>
  <c r="X125" i="5"/>
  <c r="X57" i="5"/>
  <c r="X81" i="5"/>
  <c r="X27" i="5"/>
  <c r="X123" i="5"/>
  <c r="X21" i="5"/>
  <c r="C39" i="5"/>
  <c r="X50" i="5"/>
  <c r="X115" i="5"/>
  <c r="X76" i="5"/>
  <c r="X63" i="5"/>
  <c r="X51" i="5"/>
  <c r="V53" i="2"/>
  <c r="X83" i="5"/>
  <c r="X85" i="5"/>
  <c r="U35" i="2"/>
  <c r="X15" i="5"/>
  <c r="X134" i="5"/>
  <c r="X117" i="5"/>
  <c r="X118" i="5"/>
  <c r="X114" i="5"/>
  <c r="X112" i="5"/>
  <c r="X75" i="5"/>
  <c r="X130" i="5"/>
  <c r="X22" i="5"/>
  <c r="X129" i="5"/>
  <c r="X54" i="5"/>
  <c r="X128" i="5"/>
  <c r="X120" i="5"/>
  <c r="X96" i="5"/>
  <c r="BE53" i="2"/>
  <c r="X141" i="5"/>
  <c r="X135" i="5"/>
  <c r="X119" i="5"/>
  <c r="C61" i="9"/>
  <c r="D61" i="9" s="1"/>
  <c r="C63" i="9"/>
  <c r="D63" i="9" s="1"/>
  <c r="X68" i="5"/>
  <c r="X124" i="5"/>
  <c r="V35" i="2"/>
  <c r="X58" i="5"/>
  <c r="X23" i="5"/>
  <c r="U53" i="2"/>
  <c r="BC78" i="2"/>
  <c r="BC77" i="2" s="1"/>
  <c r="BB53" i="2"/>
  <c r="BD35" i="2"/>
  <c r="BB87" i="2"/>
  <c r="BE34" i="2"/>
  <c r="BE7" i="2" s="1"/>
  <c r="BE6" i="2" s="1"/>
  <c r="BE87" i="2"/>
  <c r="AZ53" i="2"/>
  <c r="BD87" i="2"/>
  <c r="AZ87" i="2"/>
  <c r="BC88" i="2"/>
  <c r="BA34" i="2"/>
  <c r="BA7" i="2" s="1"/>
  <c r="BA6" i="2" s="1"/>
  <c r="BA87" i="2"/>
  <c r="BD53" i="2"/>
  <c r="BF89" i="2"/>
  <c r="BC36" i="2"/>
  <c r="BB35" i="2"/>
  <c r="BC23" i="2"/>
  <c r="BC22" i="2" s="1"/>
  <c r="BC137" i="2"/>
  <c r="BC126" i="2"/>
  <c r="BF120" i="2"/>
  <c r="BG120" i="2" s="1"/>
  <c r="BC81" i="2"/>
  <c r="BF114" i="2"/>
  <c r="BG114" i="2" s="1"/>
  <c r="BF129" i="2"/>
  <c r="BF53" i="2"/>
  <c r="BF34" i="2" s="1"/>
  <c r="BF134" i="2"/>
  <c r="BF11" i="2"/>
  <c r="BC64" i="2"/>
  <c r="BC54" i="2" s="1"/>
  <c r="BC47" i="2"/>
  <c r="BC19" i="2"/>
  <c r="BF110" i="2"/>
  <c r="BG110" i="2" s="1"/>
  <c r="BF22" i="2"/>
  <c r="AZ34" i="2" l="1"/>
  <c r="AZ7" i="2" s="1"/>
  <c r="AZ6" i="2" s="1"/>
  <c r="AZ5" i="2" s="1"/>
  <c r="BD34" i="2"/>
  <c r="BD7" i="2" s="1"/>
  <c r="BD6" i="2" s="1"/>
  <c r="BD5" i="2" s="1"/>
  <c r="V34" i="2"/>
  <c r="V7" i="2" s="1"/>
  <c r="V6" i="2" s="1"/>
  <c r="V5" i="2" s="1"/>
  <c r="X140" i="5"/>
  <c r="U34" i="2"/>
  <c r="U7" i="2" s="1"/>
  <c r="U6" i="2" s="1"/>
  <c r="U5" i="2" s="1"/>
  <c r="X39" i="5"/>
  <c r="X139" i="5"/>
  <c r="X113" i="5"/>
  <c r="X38" i="5"/>
  <c r="X122" i="5"/>
  <c r="BA5" i="2"/>
  <c r="X26" i="5"/>
  <c r="X137" i="5"/>
  <c r="X138" i="5"/>
  <c r="X80" i="5"/>
  <c r="X70" i="5"/>
  <c r="X95" i="5"/>
  <c r="X14" i="5"/>
  <c r="X132" i="5"/>
  <c r="X133" i="5"/>
  <c r="BB34" i="2"/>
  <c r="BB7" i="2" s="1"/>
  <c r="BB6" i="2" s="1"/>
  <c r="BB5" i="2" s="1"/>
  <c r="BE5" i="2"/>
  <c r="BC35" i="2"/>
  <c r="BF109" i="2"/>
  <c r="BG109" i="2" s="1"/>
  <c r="BF119" i="2"/>
  <c r="BC76" i="2"/>
  <c r="BC18" i="2"/>
  <c r="BF10" i="2"/>
  <c r="BC136" i="2"/>
  <c r="BC53" i="2"/>
  <c r="BC125" i="2"/>
  <c r="BF17" i="2"/>
  <c r="BC80" i="2"/>
  <c r="X56" i="5" l="1"/>
  <c r="X13" i="5"/>
  <c r="X79" i="5"/>
  <c r="X78" i="5"/>
  <c r="C59" i="9"/>
  <c r="D59" i="9" s="1"/>
  <c r="X94" i="5"/>
  <c r="X25" i="5"/>
  <c r="BC34" i="2"/>
  <c r="BC75" i="2"/>
  <c r="BC17" i="2"/>
  <c r="BC135" i="2"/>
  <c r="BC124" i="2"/>
  <c r="BF9" i="2"/>
  <c r="BF88" i="2"/>
  <c r="X37" i="5" l="1"/>
  <c r="C58" i="9"/>
  <c r="X20" i="5"/>
  <c r="X93" i="5"/>
  <c r="X12" i="5"/>
  <c r="BC7" i="2"/>
  <c r="BC6" i="2" s="1"/>
  <c r="BF87" i="2"/>
  <c r="BC134" i="2"/>
  <c r="BF8" i="2"/>
  <c r="BC119" i="2"/>
  <c r="X92" i="5" l="1"/>
  <c r="D58" i="9"/>
  <c r="D57" i="9" s="1"/>
  <c r="D64" i="9" s="1"/>
  <c r="D66" i="9" s="1"/>
  <c r="C57" i="9"/>
  <c r="C64" i="9" s="1"/>
  <c r="X11" i="5"/>
  <c r="BF7" i="2"/>
  <c r="BC87" i="2"/>
  <c r="BC5" i="2" s="1"/>
  <c r="X10" i="5" l="1"/>
  <c r="X91" i="5"/>
  <c r="X90" i="5"/>
  <c r="BF6" i="2"/>
  <c r="X9" i="5" l="1"/>
  <c r="X8" i="5"/>
  <c r="BF5" i="2"/>
  <c r="AU147" i="2" l="1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BG147" i="2" s="1"/>
  <c r="AF146" i="2"/>
  <c r="BG146" i="2" s="1"/>
  <c r="AF145" i="2"/>
  <c r="BG145" i="2" s="1"/>
  <c r="AF144" i="2"/>
  <c r="BG144" i="2" s="1"/>
  <c r="AF143" i="2"/>
  <c r="BG143" i="2" s="1"/>
  <c r="AF142" i="2"/>
  <c r="BG142" i="2" s="1"/>
  <c r="AF141" i="2"/>
  <c r="BG141" i="2" s="1"/>
  <c r="AF140" i="2"/>
  <c r="BG140" i="2" s="1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68" i="5"/>
  <c r="C67" i="5" s="1"/>
  <c r="O93" i="2" l="1"/>
  <c r="O68" i="2"/>
  <c r="O138" i="2"/>
  <c r="C64" i="2"/>
  <c r="O64" i="2" s="1"/>
  <c r="O65" i="2"/>
  <c r="AV21" i="2"/>
  <c r="BG21" i="2"/>
  <c r="O37" i="2"/>
  <c r="AF68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/>
  <c r="AV68" i="2" l="1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T422" i="3"/>
  <c r="AS422" i="3"/>
  <c r="AR422" i="3"/>
  <c r="AQ422" i="3"/>
  <c r="AP422" i="3"/>
  <c r="AO422" i="3"/>
  <c r="AN422" i="3"/>
  <c r="AM422" i="3"/>
  <c r="AL422" i="3"/>
  <c r="AK422" i="3"/>
  <c r="AJ422" i="3"/>
  <c r="AT420" i="3"/>
  <c r="AS420" i="3"/>
  <c r="AR420" i="3"/>
  <c r="AQ420" i="3"/>
  <c r="AP420" i="3"/>
  <c r="AO420" i="3"/>
  <c r="AN420" i="3"/>
  <c r="AM420" i="3"/>
  <c r="AL420" i="3"/>
  <c r="AK420" i="3"/>
  <c r="AJ420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T415" i="3"/>
  <c r="AS415" i="3"/>
  <c r="AR415" i="3"/>
  <c r="AQ415" i="3"/>
  <c r="AP415" i="3"/>
  <c r="AO415" i="3"/>
  <c r="AN415" i="3"/>
  <c r="AM415" i="3"/>
  <c r="AL415" i="3"/>
  <c r="AK415" i="3"/>
  <c r="AJ415" i="3"/>
  <c r="AT413" i="3"/>
  <c r="AS413" i="3"/>
  <c r="AR413" i="3"/>
  <c r="AQ413" i="3"/>
  <c r="AP413" i="3"/>
  <c r="AO413" i="3"/>
  <c r="AN413" i="3"/>
  <c r="AM413" i="3"/>
  <c r="AL413" i="3"/>
  <c r="AK413" i="3"/>
  <c r="AJ413" i="3"/>
  <c r="AT411" i="3"/>
  <c r="AS411" i="3"/>
  <c r="AR411" i="3"/>
  <c r="AQ411" i="3"/>
  <c r="AP411" i="3"/>
  <c r="AO411" i="3"/>
  <c r="AN411" i="3"/>
  <c r="AM411" i="3"/>
  <c r="AL411" i="3"/>
  <c r="AK411" i="3"/>
  <c r="AJ411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I409" i="3"/>
  <c r="AT408" i="3"/>
  <c r="AS408" i="3"/>
  <c r="AR408" i="3"/>
  <c r="AQ408" i="3"/>
  <c r="AP408" i="3"/>
  <c r="AO408" i="3"/>
  <c r="AN408" i="3"/>
  <c r="AM408" i="3"/>
  <c r="AL408" i="3"/>
  <c r="AK408" i="3"/>
  <c r="AJ408" i="3"/>
  <c r="AT405" i="3"/>
  <c r="AS405" i="3"/>
  <c r="AR405" i="3"/>
  <c r="AQ405" i="3"/>
  <c r="AP405" i="3"/>
  <c r="AO405" i="3"/>
  <c r="AN405" i="3"/>
  <c r="AM405" i="3"/>
  <c r="AL405" i="3"/>
  <c r="AK405" i="3"/>
  <c r="AJ405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65" i="3"/>
  <c r="AV461" i="3"/>
  <c r="AV460" i="3"/>
  <c r="AV458" i="3"/>
  <c r="AV457" i="3"/>
  <c r="AV455" i="3"/>
  <c r="AV454" i="3"/>
  <c r="AV453" i="3"/>
  <c r="AV451" i="3"/>
  <c r="AV450" i="3"/>
  <c r="AV448" i="3"/>
  <c r="AV447" i="3"/>
  <c r="AV445" i="3"/>
  <c r="AV440" i="3"/>
  <c r="AV436" i="3"/>
  <c r="AV435" i="3"/>
  <c r="AV434" i="3"/>
  <c r="AV433" i="3"/>
  <c r="AV428" i="3"/>
  <c r="AV426" i="3"/>
  <c r="AV421" i="3"/>
  <c r="AV419" i="3"/>
  <c r="AV418" i="3"/>
  <c r="AV414" i="3"/>
  <c r="AV412" i="3"/>
  <c r="AV410" i="3"/>
  <c r="AV409" i="3"/>
  <c r="AV407" i="3"/>
  <c r="AV404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465" i="3"/>
  <c r="AU461" i="3"/>
  <c r="AU460" i="3"/>
  <c r="AU458" i="3"/>
  <c r="AU457" i="3"/>
  <c r="AU455" i="3"/>
  <c r="AU454" i="3"/>
  <c r="AU453" i="3"/>
  <c r="AU451" i="3"/>
  <c r="AU450" i="3"/>
  <c r="AU448" i="3"/>
  <c r="AU447" i="3"/>
  <c r="AU445" i="3"/>
  <c r="AU440" i="3"/>
  <c r="AU436" i="3"/>
  <c r="AU435" i="3"/>
  <c r="AU434" i="3"/>
  <c r="AU433" i="3"/>
  <c r="AU428" i="3"/>
  <c r="AU426" i="3"/>
  <c r="AU419" i="3"/>
  <c r="AU410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6" i="3"/>
  <c r="N446" i="3"/>
  <c r="AT446" i="3" s="1"/>
  <c r="M446" i="3"/>
  <c r="AS446" i="3" s="1"/>
  <c r="L446" i="3"/>
  <c r="AR446" i="3" s="1"/>
  <c r="K446" i="3"/>
  <c r="AQ446" i="3" s="1"/>
  <c r="J446" i="3"/>
  <c r="AP446" i="3" s="1"/>
  <c r="I446" i="3"/>
  <c r="AO446" i="3" s="1"/>
  <c r="H446" i="3"/>
  <c r="AN446" i="3" s="1"/>
  <c r="G446" i="3"/>
  <c r="AM446" i="3" s="1"/>
  <c r="F446" i="3"/>
  <c r="AL446" i="3" s="1"/>
  <c r="E446" i="3"/>
  <c r="AK446" i="3" s="1"/>
  <c r="D446" i="3"/>
  <c r="AJ446" i="3" s="1"/>
  <c r="C446" i="3"/>
  <c r="T438" i="3"/>
  <c r="D432" i="3"/>
  <c r="AJ432" i="3" s="1"/>
  <c r="E432" i="3"/>
  <c r="AK432" i="3" s="1"/>
  <c r="F432" i="3"/>
  <c r="AL432" i="3" s="1"/>
  <c r="G432" i="3"/>
  <c r="AM432" i="3" s="1"/>
  <c r="H432" i="3"/>
  <c r="AN432" i="3" s="1"/>
  <c r="I432" i="3"/>
  <c r="AO432" i="3" s="1"/>
  <c r="J432" i="3"/>
  <c r="AP432" i="3" s="1"/>
  <c r="K432" i="3"/>
  <c r="AQ432" i="3" s="1"/>
  <c r="L432" i="3"/>
  <c r="AR432" i="3" s="1"/>
  <c r="M432" i="3"/>
  <c r="AS432" i="3" s="1"/>
  <c r="N432" i="3"/>
  <c r="AT432" i="3" s="1"/>
  <c r="P432" i="3"/>
  <c r="C432" i="3"/>
  <c r="T578" i="3"/>
  <c r="T464" i="3"/>
  <c r="T459" i="3"/>
  <c r="T456" i="3"/>
  <c r="T452" i="3"/>
  <c r="T449" i="3"/>
  <c r="T446" i="3"/>
  <c r="T444" i="3"/>
  <c r="T432" i="3"/>
  <c r="T427" i="3"/>
  <c r="T424" i="3"/>
  <c r="T420" i="3"/>
  <c r="T417" i="3"/>
  <c r="T413" i="3"/>
  <c r="T411" i="3"/>
  <c r="T408" i="3"/>
  <c r="T406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BG133" i="2" s="1"/>
  <c r="AF128" i="2"/>
  <c r="BG128" i="2" s="1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86" i="2"/>
  <c r="BG86" i="2" s="1"/>
  <c r="AF85" i="2"/>
  <c r="BG85" i="2" s="1"/>
  <c r="AF84" i="2"/>
  <c r="BG84" i="2" s="1"/>
  <c r="AF83" i="2"/>
  <c r="BG83" i="2" s="1"/>
  <c r="AF79" i="2"/>
  <c r="BG79" i="2" s="1"/>
  <c r="AF74" i="2"/>
  <c r="BG74" i="2" s="1"/>
  <c r="AF71" i="2"/>
  <c r="BG71" i="2" s="1"/>
  <c r="AF66" i="2"/>
  <c r="BG66" i="2" s="1"/>
  <c r="AF63" i="2"/>
  <c r="BG63" i="2" s="1"/>
  <c r="AF62" i="2"/>
  <c r="BG62" i="2" s="1"/>
  <c r="AF61" i="2"/>
  <c r="BG61" i="2" s="1"/>
  <c r="AF59" i="2"/>
  <c r="BG59" i="2" s="1"/>
  <c r="AF58" i="2"/>
  <c r="BG58" i="2" s="1"/>
  <c r="AF57" i="2"/>
  <c r="BG57" i="2" s="1"/>
  <c r="AF56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T93" i="2" s="1"/>
  <c r="T92" i="2" s="1"/>
  <c r="T91" i="2" s="1"/>
  <c r="T90" i="2" s="1"/>
  <c r="T89" i="2" s="1"/>
  <c r="T88" i="2" s="1"/>
  <c r="T87" i="2" s="1"/>
  <c r="AJ64" i="2"/>
  <c r="T30" i="2"/>
  <c r="T29" i="2" s="1"/>
  <c r="T23" i="2" s="1"/>
  <c r="T22" i="2" s="1"/>
  <c r="T17" i="2" s="1"/>
  <c r="T7" i="2" s="1"/>
  <c r="T6" i="2" s="1"/>
  <c r="C82" i="5"/>
  <c r="C81" i="5" s="1"/>
  <c r="C80" i="5" s="1"/>
  <c r="C79" i="5" s="1"/>
  <c r="C89" i="5"/>
  <c r="F89" i="5" s="1"/>
  <c r="C88" i="5"/>
  <c r="F88" i="5" s="1"/>
  <c r="C30" i="5"/>
  <c r="C27" i="5" s="1"/>
  <c r="B183" i="5"/>
  <c r="A183" i="5"/>
  <c r="B182" i="5"/>
  <c r="A182" i="5"/>
  <c r="H181" i="5"/>
  <c r="G181" i="5"/>
  <c r="E181" i="5"/>
  <c r="D181" i="5"/>
  <c r="C181" i="5"/>
  <c r="B181" i="5"/>
  <c r="A181" i="5"/>
  <c r="B180" i="5"/>
  <c r="A180" i="5"/>
  <c r="B179" i="5"/>
  <c r="A179" i="5"/>
  <c r="B178" i="5"/>
  <c r="A178" i="5"/>
  <c r="B177" i="5"/>
  <c r="A177" i="5"/>
  <c r="H176" i="5"/>
  <c r="G176" i="5"/>
  <c r="E176" i="5"/>
  <c r="D176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K164" i="5"/>
  <c r="J164" i="5"/>
  <c r="I164" i="5"/>
  <c r="H164" i="5"/>
  <c r="G164" i="5"/>
  <c r="F164" i="5"/>
  <c r="E164" i="5"/>
  <c r="D164" i="5"/>
  <c r="C164" i="5"/>
  <c r="B164" i="5"/>
  <c r="A164" i="5"/>
  <c r="F144" i="5"/>
  <c r="F143" i="5"/>
  <c r="F142" i="5" s="1"/>
  <c r="F141" i="5" s="1"/>
  <c r="F140" i="5" s="1"/>
  <c r="F139" i="5" s="1"/>
  <c r="F138" i="5" s="1"/>
  <c r="H183" i="5"/>
  <c r="G183" i="5"/>
  <c r="E183" i="5"/>
  <c r="C141" i="5"/>
  <c r="C140" i="5" s="1"/>
  <c r="C139" i="5" s="1"/>
  <c r="C138" i="5" s="1"/>
  <c r="C183" i="5" s="1"/>
  <c r="D183" i="5"/>
  <c r="F137" i="5"/>
  <c r="F136" i="5" s="1"/>
  <c r="F135" i="5" s="1"/>
  <c r="F134" i="5" s="1"/>
  <c r="F133" i="5" s="1"/>
  <c r="I182" i="5"/>
  <c r="H182" i="5"/>
  <c r="E182" i="5"/>
  <c r="D182" i="5"/>
  <c r="C136" i="5"/>
  <c r="C135" i="5" s="1"/>
  <c r="C134" i="5" s="1"/>
  <c r="C133" i="5" s="1"/>
  <c r="C182" i="5" s="1"/>
  <c r="G182" i="5"/>
  <c r="F132" i="5"/>
  <c r="F131" i="5" s="1"/>
  <c r="F130" i="5" s="1"/>
  <c r="F129" i="5" s="1"/>
  <c r="F128" i="5" s="1"/>
  <c r="C131" i="5"/>
  <c r="C130" i="5" s="1"/>
  <c r="C129" i="5" s="1"/>
  <c r="C128" i="5" s="1"/>
  <c r="F127" i="5"/>
  <c r="F126" i="5" s="1"/>
  <c r="F125" i="5" s="1"/>
  <c r="F124" i="5" s="1"/>
  <c r="C126" i="5"/>
  <c r="C125" i="5" s="1"/>
  <c r="C124" i="5" s="1"/>
  <c r="F122" i="5"/>
  <c r="C121" i="5"/>
  <c r="C120" i="5" s="1"/>
  <c r="C119" i="5" s="1"/>
  <c r="C118" i="5" s="1"/>
  <c r="F117" i="5"/>
  <c r="F116" i="5" s="1"/>
  <c r="F115" i="5" s="1"/>
  <c r="F114" i="5" s="1"/>
  <c r="F113" i="5" s="1"/>
  <c r="C116" i="5"/>
  <c r="C115" i="5" s="1"/>
  <c r="C114" i="5" s="1"/>
  <c r="C113" i="5" s="1"/>
  <c r="F112" i="5"/>
  <c r="F111" i="5"/>
  <c r="J111" i="5" s="1"/>
  <c r="F110" i="5"/>
  <c r="J110" i="5" s="1"/>
  <c r="F109" i="5"/>
  <c r="K109" i="5" s="1"/>
  <c r="F108" i="5"/>
  <c r="F107" i="5"/>
  <c r="J107" i="5" s="1"/>
  <c r="F106" i="5"/>
  <c r="J106" i="5" s="1"/>
  <c r="F105" i="5"/>
  <c r="K105" i="5" s="1"/>
  <c r="F104" i="5"/>
  <c r="F103" i="5"/>
  <c r="J103" i="5" s="1"/>
  <c r="F102" i="5"/>
  <c r="F101" i="5"/>
  <c r="J101" i="5" s="1"/>
  <c r="F100" i="5"/>
  <c r="K100" i="5" s="1"/>
  <c r="F99" i="5"/>
  <c r="C98" i="5"/>
  <c r="F98" i="5" s="1"/>
  <c r="D179" i="5"/>
  <c r="F90" i="5"/>
  <c r="F86" i="5"/>
  <c r="G177" i="5"/>
  <c r="D177" i="5"/>
  <c r="F77" i="5"/>
  <c r="F76" i="5" s="1"/>
  <c r="F75" i="5" s="1"/>
  <c r="C76" i="5"/>
  <c r="C75" i="5" s="1"/>
  <c r="F74" i="5"/>
  <c r="F73" i="5" s="1"/>
  <c r="C73" i="5"/>
  <c r="F72" i="5"/>
  <c r="F71" i="5" s="1"/>
  <c r="C71" i="5"/>
  <c r="F69" i="5"/>
  <c r="F68" i="5" s="1"/>
  <c r="F67" i="5" s="1"/>
  <c r="F66" i="5"/>
  <c r="J66" i="5" s="1"/>
  <c r="F65" i="5"/>
  <c r="K65" i="5" s="1"/>
  <c r="F64" i="5"/>
  <c r="C63" i="5"/>
  <c r="F62" i="5"/>
  <c r="F61" i="5"/>
  <c r="F60" i="5"/>
  <c r="J60" i="5" s="1"/>
  <c r="F59" i="5"/>
  <c r="C58" i="5"/>
  <c r="F55" i="5"/>
  <c r="F54" i="5" s="1"/>
  <c r="C54" i="5"/>
  <c r="F53" i="5"/>
  <c r="K53" i="5" s="1"/>
  <c r="F52" i="5"/>
  <c r="C51" i="5"/>
  <c r="F46" i="5"/>
  <c r="J46" i="5" s="1"/>
  <c r="F45" i="5"/>
  <c r="F41" i="5"/>
  <c r="F40" i="5" s="1"/>
  <c r="F36" i="5"/>
  <c r="F35" i="5"/>
  <c r="F34" i="5"/>
  <c r="J34" i="5" s="1"/>
  <c r="F33" i="5"/>
  <c r="G173" i="5"/>
  <c r="E173" i="5"/>
  <c r="D173" i="5"/>
  <c r="C32" i="5"/>
  <c r="C173" i="5" s="1"/>
  <c r="F31" i="5"/>
  <c r="J31" i="5" s="1"/>
  <c r="F29" i="5"/>
  <c r="J29" i="5" s="1"/>
  <c r="F28" i="5"/>
  <c r="H172" i="5"/>
  <c r="G172" i="5"/>
  <c r="F24" i="5"/>
  <c r="F23" i="5" s="1"/>
  <c r="F22" i="5" s="1"/>
  <c r="F21" i="5" s="1"/>
  <c r="I170" i="5"/>
  <c r="G170" i="5"/>
  <c r="C23" i="5"/>
  <c r="C22" i="5" s="1"/>
  <c r="C21" i="5" s="1"/>
  <c r="H170" i="5"/>
  <c r="F19" i="5"/>
  <c r="K19" i="5" s="1"/>
  <c r="F18" i="5"/>
  <c r="C17" i="5"/>
  <c r="C15" i="5" s="1"/>
  <c r="C14" i="5" s="1"/>
  <c r="C13" i="5" s="1"/>
  <c r="F16" i="5"/>
  <c r="G168" i="5"/>
  <c r="F85" i="5" l="1"/>
  <c r="F84" i="5" s="1"/>
  <c r="F83" i="5" s="1"/>
  <c r="F17" i="5"/>
  <c r="F15" i="5" s="1"/>
  <c r="F14" i="5" s="1"/>
  <c r="F13" i="5" s="1"/>
  <c r="F12" i="5" s="1"/>
  <c r="F11" i="5" s="1"/>
  <c r="F51" i="5"/>
  <c r="F50" i="5" s="1"/>
  <c r="F70" i="5"/>
  <c r="F97" i="5"/>
  <c r="F96" i="5" s="1"/>
  <c r="F95" i="5" s="1"/>
  <c r="F94" i="5" s="1"/>
  <c r="F93" i="5" s="1"/>
  <c r="F32" i="5"/>
  <c r="F63" i="5"/>
  <c r="F44" i="5"/>
  <c r="F39" i="5" s="1"/>
  <c r="F58" i="5"/>
  <c r="F123" i="5"/>
  <c r="J144" i="5"/>
  <c r="K144" i="5"/>
  <c r="B62" i="9"/>
  <c r="AF37" i="2"/>
  <c r="BG37" i="2" s="1"/>
  <c r="BG38" i="2"/>
  <c r="AV99" i="2"/>
  <c r="BG99" i="2"/>
  <c r="AV107" i="2"/>
  <c r="BG107" i="2"/>
  <c r="C57" i="5"/>
  <c r="AV100" i="2"/>
  <c r="BG100" i="2"/>
  <c r="AV108" i="2"/>
  <c r="BG108" i="2"/>
  <c r="K122" i="5"/>
  <c r="F121" i="5"/>
  <c r="F120" i="5" s="1"/>
  <c r="F119" i="5" s="1"/>
  <c r="F118" i="5" s="1"/>
  <c r="AV101" i="2"/>
  <c r="BG101" i="2"/>
  <c r="AV49" i="2"/>
  <c r="BG49" i="2"/>
  <c r="AV102" i="2"/>
  <c r="BG102" i="2"/>
  <c r="AV95" i="2"/>
  <c r="BG95" i="2"/>
  <c r="AV103" i="2"/>
  <c r="BG103" i="2"/>
  <c r="J18" i="5"/>
  <c r="AV96" i="2"/>
  <c r="BG96" i="2"/>
  <c r="AV104" i="2"/>
  <c r="BG104" i="2"/>
  <c r="T5" i="2"/>
  <c r="AV97" i="2"/>
  <c r="BG97" i="2"/>
  <c r="AV105" i="2"/>
  <c r="BG105" i="2"/>
  <c r="O446" i="3"/>
  <c r="AV98" i="2"/>
  <c r="BG98" i="2"/>
  <c r="AV106" i="2"/>
  <c r="BG106" i="2"/>
  <c r="AF152" i="3"/>
  <c r="AG152" i="3"/>
  <c r="AG323" i="3"/>
  <c r="AV323" i="3" s="1"/>
  <c r="AF323" i="3"/>
  <c r="AG387" i="3"/>
  <c r="AV387" i="3" s="1"/>
  <c r="AF387" i="3"/>
  <c r="AG19" i="3"/>
  <c r="AF19" i="3"/>
  <c r="AG45" i="3"/>
  <c r="AF45" i="3"/>
  <c r="AG77" i="3"/>
  <c r="AF77" i="3"/>
  <c r="AG116" i="3"/>
  <c r="AF116" i="3"/>
  <c r="AG159" i="3"/>
  <c r="AF159" i="3"/>
  <c r="AG199" i="3"/>
  <c r="AF199" i="3"/>
  <c r="AG238" i="3"/>
  <c r="AF238" i="3"/>
  <c r="AF265" i="3"/>
  <c r="AG265" i="3"/>
  <c r="AG298" i="3"/>
  <c r="AF298" i="3"/>
  <c r="AF328" i="3"/>
  <c r="AG328" i="3"/>
  <c r="AV328" i="3" s="1"/>
  <c r="AG363" i="3"/>
  <c r="AV363" i="3" s="1"/>
  <c r="AF363" i="3"/>
  <c r="AG390" i="3"/>
  <c r="AV390" i="3" s="1"/>
  <c r="AF390" i="3"/>
  <c r="AF416" i="3"/>
  <c r="AG417" i="3"/>
  <c r="AV417" i="3" s="1"/>
  <c r="AG452" i="3"/>
  <c r="AV452" i="3" s="1"/>
  <c r="AF452" i="3"/>
  <c r="AG111" i="3"/>
  <c r="AF111" i="3"/>
  <c r="AF361" i="3"/>
  <c r="AG361" i="3"/>
  <c r="AV361" i="3" s="1"/>
  <c r="AG22" i="3"/>
  <c r="AF22" i="3"/>
  <c r="AF56" i="3"/>
  <c r="AG56" i="3"/>
  <c r="AG84" i="3"/>
  <c r="AF84" i="3"/>
  <c r="AF121" i="3"/>
  <c r="AG121" i="3"/>
  <c r="AG163" i="3"/>
  <c r="AF163" i="3"/>
  <c r="AG206" i="3"/>
  <c r="AF206" i="3"/>
  <c r="AF241" i="3"/>
  <c r="AG241" i="3"/>
  <c r="AG268" i="3"/>
  <c r="AF268" i="3"/>
  <c r="AG303" i="3"/>
  <c r="AV303" i="3" s="1"/>
  <c r="AF303" i="3"/>
  <c r="AG334" i="3"/>
  <c r="AV334" i="3" s="1"/>
  <c r="AF334" i="3"/>
  <c r="AG367" i="3"/>
  <c r="AV367" i="3" s="1"/>
  <c r="AF367" i="3"/>
  <c r="AF393" i="3"/>
  <c r="AG393" i="3"/>
  <c r="AV393" i="3" s="1"/>
  <c r="AG420" i="3"/>
  <c r="AV420" i="3" s="1"/>
  <c r="AF419" i="3"/>
  <c r="AU420" i="3" s="1"/>
  <c r="AG456" i="3"/>
  <c r="AV456" i="3" s="1"/>
  <c r="AF456" i="3"/>
  <c r="AG69" i="3"/>
  <c r="AF69" i="3"/>
  <c r="AF24" i="3"/>
  <c r="AG24" i="3"/>
  <c r="AG58" i="3"/>
  <c r="AF58" i="3"/>
  <c r="AG87" i="3"/>
  <c r="AF87" i="3"/>
  <c r="AF128" i="3"/>
  <c r="AG128" i="3"/>
  <c r="AF169" i="3"/>
  <c r="AG169" i="3"/>
  <c r="AG211" i="3"/>
  <c r="AF211" i="3"/>
  <c r="AG246" i="3"/>
  <c r="AF246" i="3"/>
  <c r="AF272" i="3"/>
  <c r="AG272" i="3"/>
  <c r="AG306" i="3"/>
  <c r="AV306" i="3" s="1"/>
  <c r="AF306" i="3"/>
  <c r="AG339" i="3"/>
  <c r="AF339" i="3"/>
  <c r="AG370" i="3"/>
  <c r="AV370" i="3" s="1"/>
  <c r="AF370" i="3"/>
  <c r="AG397" i="3"/>
  <c r="AV397" i="3" s="1"/>
  <c r="AF397" i="3"/>
  <c r="AF423" i="3"/>
  <c r="AG424" i="3"/>
  <c r="AV424" i="3" s="1"/>
  <c r="AG459" i="3"/>
  <c r="AV459" i="3" s="1"/>
  <c r="AF459" i="3"/>
  <c r="AG438" i="3"/>
  <c r="AV438" i="3" s="1"/>
  <c r="AF438" i="3"/>
  <c r="AG231" i="3"/>
  <c r="AF231" i="3"/>
  <c r="AF449" i="3"/>
  <c r="AG449" i="3"/>
  <c r="AV449" i="3" s="1"/>
  <c r="AG26" i="3"/>
  <c r="AF26" i="3"/>
  <c r="AG60" i="3"/>
  <c r="AF60" i="3"/>
  <c r="AG91" i="3"/>
  <c r="AF91" i="3"/>
  <c r="AG133" i="3"/>
  <c r="AF133" i="3"/>
  <c r="AG175" i="3"/>
  <c r="AF175" i="3"/>
  <c r="AG214" i="3"/>
  <c r="AF214" i="3"/>
  <c r="AF249" i="3"/>
  <c r="AG249" i="3"/>
  <c r="AG277" i="3"/>
  <c r="AF277" i="3"/>
  <c r="AG309" i="3"/>
  <c r="AV309" i="3" s="1"/>
  <c r="AF309" i="3"/>
  <c r="AG346" i="3"/>
  <c r="AV346" i="3" s="1"/>
  <c r="AF346" i="3"/>
  <c r="AG373" i="3"/>
  <c r="AV373" i="3" s="1"/>
  <c r="AF373" i="3"/>
  <c r="AF400" i="3"/>
  <c r="AG400" i="3"/>
  <c r="AV400" i="3" s="1"/>
  <c r="AG427" i="3"/>
  <c r="AF426" i="3"/>
  <c r="AF464" i="3"/>
  <c r="AG464" i="3"/>
  <c r="AV464" i="3" s="1"/>
  <c r="AF9" i="3"/>
  <c r="AG9" i="3"/>
  <c r="AG196" i="3"/>
  <c r="AF196" i="3"/>
  <c r="AG28" i="3"/>
  <c r="AF28" i="3"/>
  <c r="AG62" i="3"/>
  <c r="AF62" i="3"/>
  <c r="AG94" i="3"/>
  <c r="AF94" i="3"/>
  <c r="AF137" i="3"/>
  <c r="AG137" i="3"/>
  <c r="AG180" i="3"/>
  <c r="AF180" i="3"/>
  <c r="AF217" i="3"/>
  <c r="AG217" i="3"/>
  <c r="AG251" i="3"/>
  <c r="AF251" i="3"/>
  <c r="AG282" i="3"/>
  <c r="AF282" i="3"/>
  <c r="AF312" i="3"/>
  <c r="AG312" i="3"/>
  <c r="AV312" i="3" s="1"/>
  <c r="AG350" i="3"/>
  <c r="AV350" i="3" s="1"/>
  <c r="AF350" i="3"/>
  <c r="AF376" i="3"/>
  <c r="AG376" i="3"/>
  <c r="AV376" i="3" s="1"/>
  <c r="AG406" i="3"/>
  <c r="AV406" i="3" s="1"/>
  <c r="AF405" i="3"/>
  <c r="AG432" i="3"/>
  <c r="AV432" i="3" s="1"/>
  <c r="AF432" i="3"/>
  <c r="AF578" i="3"/>
  <c r="AG578" i="3"/>
  <c r="AV578" i="3" s="1"/>
  <c r="AG35" i="3"/>
  <c r="AF35" i="3"/>
  <c r="AG295" i="3"/>
  <c r="AF295" i="3"/>
  <c r="AG30" i="3"/>
  <c r="AF30" i="3"/>
  <c r="AF64" i="3"/>
  <c r="AG64" i="3"/>
  <c r="AG99" i="3"/>
  <c r="AF99" i="3"/>
  <c r="AG139" i="3"/>
  <c r="AF139" i="3"/>
  <c r="AF185" i="3"/>
  <c r="AG185" i="3"/>
  <c r="AG222" i="3"/>
  <c r="AF222" i="3"/>
  <c r="AG255" i="3"/>
  <c r="AF255" i="3"/>
  <c r="AG286" i="3"/>
  <c r="AF286" i="3"/>
  <c r="AG317" i="3"/>
  <c r="AF317" i="3"/>
  <c r="AG354" i="3"/>
  <c r="AV354" i="3" s="1"/>
  <c r="AF354" i="3"/>
  <c r="AG378" i="3"/>
  <c r="AV378" i="3" s="1"/>
  <c r="AF378" i="3"/>
  <c r="AG408" i="3"/>
  <c r="AV408" i="3" s="1"/>
  <c r="AF407" i="3"/>
  <c r="AU408" i="3" s="1"/>
  <c r="AG444" i="3"/>
  <c r="AV444" i="3" s="1"/>
  <c r="AF444" i="3"/>
  <c r="O432" i="3"/>
  <c r="AG263" i="3"/>
  <c r="AF263" i="3"/>
  <c r="AG413" i="3"/>
  <c r="AV413" i="3" s="1"/>
  <c r="AF412" i="3"/>
  <c r="AU413" i="3" s="1"/>
  <c r="AF32" i="3"/>
  <c r="AG32" i="3"/>
  <c r="AG66" i="3"/>
  <c r="AF66" i="3"/>
  <c r="AG101" i="3"/>
  <c r="AF101" i="3"/>
  <c r="AF144" i="3"/>
  <c r="AG144" i="3"/>
  <c r="AG191" i="3"/>
  <c r="AF191" i="3"/>
  <c r="AG226" i="3"/>
  <c r="AF226" i="3"/>
  <c r="AG261" i="3"/>
  <c r="AF261" i="3"/>
  <c r="AG291" i="3"/>
  <c r="AF291" i="3"/>
  <c r="AF321" i="3"/>
  <c r="AG321" i="3"/>
  <c r="AV321" i="3" s="1"/>
  <c r="AG358" i="3"/>
  <c r="AV358" i="3" s="1"/>
  <c r="AF358" i="3"/>
  <c r="AG382" i="3"/>
  <c r="AV382" i="3" s="1"/>
  <c r="AF382" i="3"/>
  <c r="AG411" i="3"/>
  <c r="AV411" i="3" s="1"/>
  <c r="AF410" i="3"/>
  <c r="AU411" i="3" s="1"/>
  <c r="AG446" i="3"/>
  <c r="AV446" i="3" s="1"/>
  <c r="AF446" i="3"/>
  <c r="AP93" i="2"/>
  <c r="AN93" i="2"/>
  <c r="AO93" i="2"/>
  <c r="C70" i="5"/>
  <c r="AR93" i="2"/>
  <c r="C97" i="5"/>
  <c r="C96" i="5" s="1"/>
  <c r="C95" i="5" s="1"/>
  <c r="C94" i="5" s="1"/>
  <c r="C93" i="5" s="1"/>
  <c r="C92" i="5" s="1"/>
  <c r="C179" i="5" s="1"/>
  <c r="AK93" i="2"/>
  <c r="AS93" i="2"/>
  <c r="K68" i="5"/>
  <c r="AQ93" i="2"/>
  <c r="K137" i="5"/>
  <c r="AV66" i="2"/>
  <c r="AF65" i="2"/>
  <c r="BG65" i="2" s="1"/>
  <c r="J16" i="5"/>
  <c r="F181" i="5"/>
  <c r="AL93" i="2"/>
  <c r="AT93" i="2"/>
  <c r="C50" i="5"/>
  <c r="AM93" i="2"/>
  <c r="AU93" i="2"/>
  <c r="K55" i="5"/>
  <c r="J72" i="5"/>
  <c r="J71" i="5" s="1"/>
  <c r="AJ30" i="2"/>
  <c r="AJ94" i="2"/>
  <c r="AJ93" i="2" s="1"/>
  <c r="AF30" i="2"/>
  <c r="BG30" i="2" s="1"/>
  <c r="Y36" i="2"/>
  <c r="AF94" i="2"/>
  <c r="J137" i="5"/>
  <c r="J136" i="5" s="1"/>
  <c r="J135" i="5" s="1"/>
  <c r="J134" i="5" s="1"/>
  <c r="J133" i="5" s="1"/>
  <c r="K46" i="5"/>
  <c r="K34" i="5"/>
  <c r="K40" i="5"/>
  <c r="H180" i="5"/>
  <c r="G175" i="5"/>
  <c r="J105" i="5"/>
  <c r="J109" i="5"/>
  <c r="K18" i="5"/>
  <c r="J52" i="5"/>
  <c r="K62" i="5"/>
  <c r="K102" i="5"/>
  <c r="G180" i="5"/>
  <c r="K35" i="5"/>
  <c r="E175" i="5"/>
  <c r="D180" i="5"/>
  <c r="K99" i="5"/>
  <c r="E177" i="5"/>
  <c r="J33" i="5"/>
  <c r="K36" i="5"/>
  <c r="K60" i="5"/>
  <c r="J104" i="5"/>
  <c r="H168" i="5"/>
  <c r="I168" i="5"/>
  <c r="H175" i="5"/>
  <c r="J35" i="5"/>
  <c r="K77" i="5"/>
  <c r="J86" i="5"/>
  <c r="J99" i="5"/>
  <c r="K106" i="5"/>
  <c r="K110" i="5"/>
  <c r="J88" i="5"/>
  <c r="K29" i="5"/>
  <c r="J36" i="5"/>
  <c r="J41" i="5"/>
  <c r="J40" i="5" s="1"/>
  <c r="K52" i="5"/>
  <c r="C85" i="5"/>
  <c r="C177" i="5" s="1"/>
  <c r="J100" i="5"/>
  <c r="K103" i="5"/>
  <c r="K107" i="5"/>
  <c r="K111" i="5"/>
  <c r="F30" i="5"/>
  <c r="F27" i="5" s="1"/>
  <c r="J62" i="5"/>
  <c r="J90" i="5"/>
  <c r="K104" i="5"/>
  <c r="K108" i="5"/>
  <c r="K112" i="5"/>
  <c r="H177" i="5"/>
  <c r="K69" i="5"/>
  <c r="K101" i="5"/>
  <c r="E180" i="5"/>
  <c r="E174" i="5"/>
  <c r="K31" i="5"/>
  <c r="K72" i="5"/>
  <c r="J102" i="5"/>
  <c r="J143" i="5"/>
  <c r="T463" i="3"/>
  <c r="AV317" i="3"/>
  <c r="T224" i="3"/>
  <c r="T290" i="3"/>
  <c r="T110" i="3"/>
  <c r="T230" i="3"/>
  <c r="T294" i="3"/>
  <c r="AV427" i="3"/>
  <c r="T285" i="3"/>
  <c r="T120" i="3"/>
  <c r="T240" i="3"/>
  <c r="AV339" i="3"/>
  <c r="T130" i="3"/>
  <c r="T423" i="3"/>
  <c r="T333" i="3"/>
  <c r="AU10" i="3"/>
  <c r="T338" i="3"/>
  <c r="AI420" i="3"/>
  <c r="T76" i="3"/>
  <c r="T327" i="3"/>
  <c r="T437" i="3"/>
  <c r="T281" i="3"/>
  <c r="AI446" i="3"/>
  <c r="T297" i="3"/>
  <c r="AI413" i="3"/>
  <c r="T431" i="3"/>
  <c r="T577" i="3"/>
  <c r="T44" i="3"/>
  <c r="AI408" i="3"/>
  <c r="AI432" i="3"/>
  <c r="T34" i="3"/>
  <c r="T68" i="3"/>
  <c r="AI411" i="3"/>
  <c r="T83" i="3"/>
  <c r="T396" i="3"/>
  <c r="T316" i="3"/>
  <c r="T8" i="3"/>
  <c r="T267" i="3"/>
  <c r="T205" i="3"/>
  <c r="T405" i="3"/>
  <c r="AG405" i="3" s="1"/>
  <c r="T136" i="3"/>
  <c r="T21" i="3"/>
  <c r="T386" i="3"/>
  <c r="T55" i="3"/>
  <c r="T190" i="3"/>
  <c r="T305" i="3"/>
  <c r="T345" i="3"/>
  <c r="T150" i="3"/>
  <c r="T254" i="3"/>
  <c r="T416" i="3"/>
  <c r="T443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76" i="5"/>
  <c r="F82" i="5"/>
  <c r="F81" i="5" s="1"/>
  <c r="F80" i="5" s="1"/>
  <c r="F79" i="5" s="1"/>
  <c r="F78" i="5" s="1"/>
  <c r="K89" i="5"/>
  <c r="C172" i="5"/>
  <c r="C26" i="5"/>
  <c r="E168" i="5"/>
  <c r="C12" i="5"/>
  <c r="C11" i="5" s="1"/>
  <c r="C168" i="5"/>
  <c r="D168" i="5"/>
  <c r="D171" i="5"/>
  <c r="D169" i="5"/>
  <c r="G178" i="5"/>
  <c r="G179" i="5"/>
  <c r="D174" i="5"/>
  <c r="D170" i="5"/>
  <c r="E171" i="5"/>
  <c r="C170" i="5"/>
  <c r="I172" i="5"/>
  <c r="K23" i="5"/>
  <c r="K33" i="5"/>
  <c r="E169" i="5"/>
  <c r="C123" i="5"/>
  <c r="C180" i="5" s="1"/>
  <c r="J53" i="5"/>
  <c r="K61" i="5"/>
  <c r="J61" i="5"/>
  <c r="J65" i="5"/>
  <c r="D178" i="5"/>
  <c r="D172" i="5"/>
  <c r="H174" i="5"/>
  <c r="J28" i="5"/>
  <c r="K16" i="5"/>
  <c r="K28" i="5"/>
  <c r="J19" i="5"/>
  <c r="K117" i="5"/>
  <c r="I181" i="5"/>
  <c r="K132" i="5"/>
  <c r="K181" i="5" s="1"/>
  <c r="E172" i="5"/>
  <c r="K90" i="5"/>
  <c r="J24" i="5"/>
  <c r="J23" i="5" s="1"/>
  <c r="J22" i="5" s="1"/>
  <c r="J21" i="5" s="1"/>
  <c r="K24" i="5"/>
  <c r="K41" i="5"/>
  <c r="K59" i="5"/>
  <c r="J59" i="5"/>
  <c r="K66" i="5"/>
  <c r="J69" i="5"/>
  <c r="J68" i="5" s="1"/>
  <c r="J67" i="5" s="1"/>
  <c r="K74" i="5"/>
  <c r="J74" i="5"/>
  <c r="J73" i="5" s="1"/>
  <c r="J70" i="5" s="1"/>
  <c r="K88" i="5"/>
  <c r="K115" i="5"/>
  <c r="J117" i="5"/>
  <c r="J116" i="5" s="1"/>
  <c r="J115" i="5" s="1"/>
  <c r="J114" i="5" s="1"/>
  <c r="J113" i="5" s="1"/>
  <c r="K143" i="5"/>
  <c r="I176" i="5"/>
  <c r="E170" i="5"/>
  <c r="K86" i="5"/>
  <c r="J98" i="5"/>
  <c r="J108" i="5"/>
  <c r="K127" i="5"/>
  <c r="J127" i="5"/>
  <c r="J126" i="5" s="1"/>
  <c r="J125" i="5" s="1"/>
  <c r="J124" i="5" s="1"/>
  <c r="K45" i="5"/>
  <c r="J45" i="5"/>
  <c r="J44" i="5" s="1"/>
  <c r="J39" i="5" s="1"/>
  <c r="J64" i="5"/>
  <c r="J77" i="5"/>
  <c r="J76" i="5" s="1"/>
  <c r="J75" i="5" s="1"/>
  <c r="K64" i="5"/>
  <c r="J89" i="5"/>
  <c r="J112" i="5"/>
  <c r="K114" i="5"/>
  <c r="J132" i="5"/>
  <c r="J131" i="5" s="1"/>
  <c r="J130" i="5" s="1"/>
  <c r="J129" i="5" s="1"/>
  <c r="J128" i="5" s="1"/>
  <c r="J55" i="5"/>
  <c r="J54" i="5" s="1"/>
  <c r="J122" i="5"/>
  <c r="J121" i="5" s="1"/>
  <c r="J120" i="5" s="1"/>
  <c r="J119" i="5" s="1"/>
  <c r="J118" i="5" s="1"/>
  <c r="D175" i="5"/>
  <c r="J142" i="5" l="1"/>
  <c r="J141" i="5" s="1"/>
  <c r="J140" i="5" s="1"/>
  <c r="J139" i="5" s="1"/>
  <c r="J138" i="5" s="1"/>
  <c r="K51" i="5"/>
  <c r="F26" i="5"/>
  <c r="F25" i="5" s="1"/>
  <c r="F20" i="5" s="1"/>
  <c r="J123" i="5"/>
  <c r="J97" i="5"/>
  <c r="J96" i="5" s="1"/>
  <c r="J95" i="5" s="1"/>
  <c r="J94" i="5" s="1"/>
  <c r="J93" i="5" s="1"/>
  <c r="J92" i="5" s="1"/>
  <c r="J91" i="5" s="1"/>
  <c r="F38" i="5"/>
  <c r="J63" i="5"/>
  <c r="J51" i="5"/>
  <c r="J50" i="5" s="1"/>
  <c r="J38" i="5" s="1"/>
  <c r="J17" i="5"/>
  <c r="J15" i="5" s="1"/>
  <c r="J14" i="5" s="1"/>
  <c r="J13" i="5" s="1"/>
  <c r="J12" i="5" s="1"/>
  <c r="J11" i="5" s="1"/>
  <c r="J58" i="5"/>
  <c r="F92" i="5"/>
  <c r="F91" i="5" s="1"/>
  <c r="J85" i="5"/>
  <c r="J84" i="5" s="1"/>
  <c r="J83" i="5" s="1"/>
  <c r="J32" i="5"/>
  <c r="F57" i="5"/>
  <c r="F56" i="5" s="1"/>
  <c r="F37" i="5" s="1"/>
  <c r="AF93" i="2"/>
  <c r="BG93" i="2" s="1"/>
  <c r="BG94" i="2"/>
  <c r="B63" i="9"/>
  <c r="F183" i="5"/>
  <c r="B61" i="9"/>
  <c r="J183" i="5"/>
  <c r="B60" i="9"/>
  <c r="AG205" i="3"/>
  <c r="AF205" i="3"/>
  <c r="AF305" i="3"/>
  <c r="AG305" i="3"/>
  <c r="AV305" i="3" s="1"/>
  <c r="AG267" i="3"/>
  <c r="AF267" i="3"/>
  <c r="AF281" i="3"/>
  <c r="AG281" i="3"/>
  <c r="AG130" i="3"/>
  <c r="AF130" i="3"/>
  <c r="T115" i="3"/>
  <c r="T114" i="3" s="1"/>
  <c r="AF120" i="3"/>
  <c r="AG120" i="3"/>
  <c r="AG34" i="3"/>
  <c r="AF34" i="3"/>
  <c r="AG190" i="3"/>
  <c r="AF190" i="3"/>
  <c r="AF8" i="3"/>
  <c r="AG8" i="3"/>
  <c r="AG437" i="3"/>
  <c r="AV437" i="3" s="1"/>
  <c r="AF437" i="3"/>
  <c r="AF240" i="3"/>
  <c r="AG240" i="3"/>
  <c r="AG55" i="3"/>
  <c r="AF55" i="3"/>
  <c r="AG316" i="3"/>
  <c r="AV316" i="3" s="1"/>
  <c r="AF316" i="3"/>
  <c r="AG44" i="3"/>
  <c r="AF44" i="3"/>
  <c r="AG327" i="3"/>
  <c r="AV327" i="3" s="1"/>
  <c r="AF327" i="3"/>
  <c r="T462" i="3"/>
  <c r="AG463" i="3"/>
  <c r="AV463" i="3" s="1"/>
  <c r="AF463" i="3"/>
  <c r="AF345" i="3"/>
  <c r="AG345" i="3"/>
  <c r="AV345" i="3" s="1"/>
  <c r="AG333" i="3"/>
  <c r="AV333" i="3" s="1"/>
  <c r="AF333" i="3"/>
  <c r="AG443" i="3"/>
  <c r="AF443" i="3"/>
  <c r="AG386" i="3"/>
  <c r="AV386" i="3" s="1"/>
  <c r="AF386" i="3"/>
  <c r="AG396" i="3"/>
  <c r="AV396" i="3" s="1"/>
  <c r="AF396" i="3"/>
  <c r="AF577" i="3"/>
  <c r="AG577" i="3"/>
  <c r="AV577" i="3" s="1"/>
  <c r="AG76" i="3"/>
  <c r="AF76" i="3"/>
  <c r="T422" i="3"/>
  <c r="AI422" i="3" s="1"/>
  <c r="AG423" i="3"/>
  <c r="AV423" i="3" s="1"/>
  <c r="AF422" i="3"/>
  <c r="AG294" i="3"/>
  <c r="AF294" i="3"/>
  <c r="AF415" i="3"/>
  <c r="AG416" i="3"/>
  <c r="AV416" i="3" s="1"/>
  <c r="AG21" i="3"/>
  <c r="AF21" i="3"/>
  <c r="AG83" i="3"/>
  <c r="AF83" i="3"/>
  <c r="AG431" i="3"/>
  <c r="AV431" i="3" s="1"/>
  <c r="AF431" i="3"/>
  <c r="AG285" i="3"/>
  <c r="AF285" i="3"/>
  <c r="AG230" i="3"/>
  <c r="AF230" i="3"/>
  <c r="T289" i="3"/>
  <c r="AG290" i="3"/>
  <c r="AF290" i="3"/>
  <c r="AG254" i="3"/>
  <c r="AF254" i="3"/>
  <c r="AF136" i="3"/>
  <c r="AG136" i="3"/>
  <c r="AG338" i="3"/>
  <c r="AV338" i="3" s="1"/>
  <c r="AF338" i="3"/>
  <c r="T108" i="3"/>
  <c r="T107" i="3" s="1"/>
  <c r="AG110" i="3"/>
  <c r="AF110" i="3"/>
  <c r="T221" i="3"/>
  <c r="T220" i="3" s="1"/>
  <c r="AF224" i="3"/>
  <c r="AG224" i="3"/>
  <c r="AG150" i="3"/>
  <c r="AF150" i="3"/>
  <c r="AG68" i="3"/>
  <c r="AF68" i="3"/>
  <c r="AF297" i="3"/>
  <c r="AG297" i="3"/>
  <c r="AF67" i="2"/>
  <c r="BG67" i="2" s="1"/>
  <c r="BG70" i="2"/>
  <c r="AF47" i="2"/>
  <c r="BG47" i="2" s="1"/>
  <c r="BG48" i="2"/>
  <c r="C84" i="5"/>
  <c r="C83" i="5" s="1"/>
  <c r="C78" i="5" s="1"/>
  <c r="C175" i="5" s="1"/>
  <c r="AU446" i="3"/>
  <c r="K30" i="5"/>
  <c r="J30" i="5"/>
  <c r="J27" i="5" s="1"/>
  <c r="J26" i="5" s="1"/>
  <c r="J25" i="5" s="1"/>
  <c r="J20" i="5" s="1"/>
  <c r="C56" i="5"/>
  <c r="W53" i="2"/>
  <c r="C38" i="5"/>
  <c r="AA53" i="2"/>
  <c r="Y53" i="2"/>
  <c r="AD53" i="2"/>
  <c r="AD34" i="2" s="1"/>
  <c r="AE53" i="2"/>
  <c r="K27" i="5"/>
  <c r="K172" i="5" s="1"/>
  <c r="X53" i="2"/>
  <c r="J180" i="5"/>
  <c r="J182" i="5"/>
  <c r="F172" i="5"/>
  <c r="AB53" i="2"/>
  <c r="AB34" i="2" s="1"/>
  <c r="F176" i="5"/>
  <c r="K54" i="5"/>
  <c r="Z53" i="2"/>
  <c r="Z34" i="2" s="1"/>
  <c r="AF64" i="2"/>
  <c r="AV65" i="2"/>
  <c r="Y35" i="2"/>
  <c r="G174" i="5"/>
  <c r="K71" i="5"/>
  <c r="G171" i="5"/>
  <c r="K113" i="5"/>
  <c r="K116" i="5"/>
  <c r="AV443" i="3"/>
  <c r="T293" i="3"/>
  <c r="AU405" i="3"/>
  <c r="AV405" i="3"/>
  <c r="T284" i="3"/>
  <c r="T430" i="3"/>
  <c r="AU432" i="3"/>
  <c r="AI405" i="3"/>
  <c r="T280" i="3"/>
  <c r="T332" i="3"/>
  <c r="T75" i="3"/>
  <c r="T337" i="3"/>
  <c r="T344" i="3"/>
  <c r="T302" i="3"/>
  <c r="T442" i="3"/>
  <c r="T43" i="3"/>
  <c r="T415" i="3"/>
  <c r="T237" i="3"/>
  <c r="T315" i="3"/>
  <c r="T7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2" i="5"/>
  <c r="K176" i="5" s="1"/>
  <c r="J82" i="5"/>
  <c r="J81" i="5" s="1"/>
  <c r="J80" i="5" s="1"/>
  <c r="J79" i="5" s="1"/>
  <c r="J78" i="5" s="1"/>
  <c r="C171" i="5"/>
  <c r="C25" i="5"/>
  <c r="C20" i="5" s="1"/>
  <c r="C169" i="5" s="1"/>
  <c r="J181" i="5"/>
  <c r="F173" i="5"/>
  <c r="K58" i="5"/>
  <c r="E179" i="5"/>
  <c r="E178" i="5"/>
  <c r="K32" i="5"/>
  <c r="K173" i="5" s="1"/>
  <c r="I173" i="5"/>
  <c r="K17" i="5"/>
  <c r="K98" i="5"/>
  <c r="K75" i="5"/>
  <c r="F177" i="5"/>
  <c r="K131" i="5"/>
  <c r="K76" i="5"/>
  <c r="K142" i="5"/>
  <c r="K70" i="5"/>
  <c r="K73" i="5"/>
  <c r="H173" i="5"/>
  <c r="H178" i="5"/>
  <c r="H179" i="5"/>
  <c r="K22" i="5"/>
  <c r="K126" i="5"/>
  <c r="K121" i="5"/>
  <c r="J170" i="5"/>
  <c r="K125" i="5"/>
  <c r="K136" i="5"/>
  <c r="K44" i="5"/>
  <c r="F180" i="5"/>
  <c r="K85" i="5"/>
  <c r="K177" i="5" s="1"/>
  <c r="I177" i="5"/>
  <c r="K63" i="5"/>
  <c r="C91" i="5"/>
  <c r="C178" i="5" s="1"/>
  <c r="J57" i="5" l="1"/>
  <c r="J56" i="5" s="1"/>
  <c r="J37" i="5" s="1"/>
  <c r="J10" i="5" s="1"/>
  <c r="J9" i="5" s="1"/>
  <c r="J8" i="5" s="1"/>
  <c r="F10" i="5"/>
  <c r="F9" i="5" s="1"/>
  <c r="F8" i="5" s="1"/>
  <c r="B58" i="9"/>
  <c r="J175" i="5"/>
  <c r="J178" i="5"/>
  <c r="AV64" i="2"/>
  <c r="BG64" i="2"/>
  <c r="AG462" i="3"/>
  <c r="AV462" i="3" s="1"/>
  <c r="AF462" i="3"/>
  <c r="AG220" i="3"/>
  <c r="AF220" i="3"/>
  <c r="AF337" i="3"/>
  <c r="AG337" i="3"/>
  <c r="AV337" i="3" s="1"/>
  <c r="AG430" i="3"/>
  <c r="AV430" i="3" s="1"/>
  <c r="AF430" i="3"/>
  <c r="AG221" i="3"/>
  <c r="AF221" i="3"/>
  <c r="AG107" i="3"/>
  <c r="AF107" i="3"/>
  <c r="AF344" i="3"/>
  <c r="AG344" i="3"/>
  <c r="AV344" i="3" s="1"/>
  <c r="AG75" i="3"/>
  <c r="AF75" i="3"/>
  <c r="AG284" i="3"/>
  <c r="AF284" i="3"/>
  <c r="AG7" i="3"/>
  <c r="AF7" i="3"/>
  <c r="AG237" i="3"/>
  <c r="AF237" i="3"/>
  <c r="AG332" i="3"/>
  <c r="AV332" i="3" s="1"/>
  <c r="AF332" i="3"/>
  <c r="AG302" i="3"/>
  <c r="AF302" i="3"/>
  <c r="AG415" i="3"/>
  <c r="AF414" i="3"/>
  <c r="AU415" i="3" s="1"/>
  <c r="AG293" i="3"/>
  <c r="AF293" i="3"/>
  <c r="AG108" i="3"/>
  <c r="AF108" i="3"/>
  <c r="AG115" i="3"/>
  <c r="AF115" i="3"/>
  <c r="AG315" i="3"/>
  <c r="AV315" i="3" s="1"/>
  <c r="AF315" i="3"/>
  <c r="AG43" i="3"/>
  <c r="AF43" i="3"/>
  <c r="AF280" i="3"/>
  <c r="AG280" i="3"/>
  <c r="AF289" i="3"/>
  <c r="AG289" i="3"/>
  <c r="AG114" i="3"/>
  <c r="AF114" i="3"/>
  <c r="AF442" i="3"/>
  <c r="AG442" i="3"/>
  <c r="AV442" i="3" s="1"/>
  <c r="AG422" i="3"/>
  <c r="AV422" i="3" s="1"/>
  <c r="AF421" i="3"/>
  <c r="AU422" i="3" s="1"/>
  <c r="C37" i="5"/>
  <c r="C174" i="5" s="1"/>
  <c r="J173" i="5"/>
  <c r="J176" i="5"/>
  <c r="J177" i="5"/>
  <c r="AF53" i="2"/>
  <c r="BG53" i="2" s="1"/>
  <c r="X34" i="2"/>
  <c r="AE34" i="2"/>
  <c r="K67" i="5"/>
  <c r="G169" i="5"/>
  <c r="K50" i="5"/>
  <c r="AV415" i="3"/>
  <c r="T288" i="3"/>
  <c r="T429" i="3"/>
  <c r="T74" i="3"/>
  <c r="T279" i="3"/>
  <c r="T204" i="3"/>
  <c r="T326" i="3"/>
  <c r="AI415" i="3"/>
  <c r="T6" i="3"/>
  <c r="T441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0" i="5"/>
  <c r="K81" i="5"/>
  <c r="F175" i="5"/>
  <c r="K135" i="5"/>
  <c r="K79" i="5"/>
  <c r="D167" i="5"/>
  <c r="K120" i="5"/>
  <c r="H171" i="5"/>
  <c r="F171" i="5"/>
  <c r="F169" i="5"/>
  <c r="I171" i="5"/>
  <c r="K26" i="5"/>
  <c r="K171" i="5" s="1"/>
  <c r="K97" i="5"/>
  <c r="E167" i="5"/>
  <c r="J172" i="5"/>
  <c r="K84" i="5"/>
  <c r="K83" i="5"/>
  <c r="K39" i="5"/>
  <c r="F170" i="5"/>
  <c r="K21" i="5"/>
  <c r="K170" i="5" s="1"/>
  <c r="K15" i="5"/>
  <c r="K124" i="5"/>
  <c r="K141" i="5"/>
  <c r="K130" i="5"/>
  <c r="K56" i="5"/>
  <c r="K57" i="5"/>
  <c r="J168" i="5"/>
  <c r="B59" i="9" l="1"/>
  <c r="B57" i="9" s="1"/>
  <c r="B64" i="9" s="1"/>
  <c r="AG6" i="3"/>
  <c r="AF6" i="3"/>
  <c r="AG74" i="3"/>
  <c r="AF74" i="3"/>
  <c r="AG429" i="3"/>
  <c r="AV429" i="3" s="1"/>
  <c r="AF429" i="3"/>
  <c r="AF441" i="3"/>
  <c r="AG441" i="3"/>
  <c r="AV441" i="3" s="1"/>
  <c r="AG326" i="3"/>
  <c r="AV326" i="3" s="1"/>
  <c r="AF326" i="3"/>
  <c r="AG279" i="3"/>
  <c r="AF279" i="3"/>
  <c r="AG343" i="3"/>
  <c r="AV343" i="3" s="1"/>
  <c r="AF343" i="3"/>
  <c r="AG314" i="3"/>
  <c r="AV314" i="3" s="1"/>
  <c r="AF314" i="3"/>
  <c r="AF288" i="3"/>
  <c r="AG288" i="3"/>
  <c r="AG204" i="3"/>
  <c r="AF204" i="3"/>
  <c r="C10" i="5"/>
  <c r="C167" i="5" s="1"/>
  <c r="F174" i="5"/>
  <c r="J174" i="5"/>
  <c r="J179" i="5"/>
  <c r="AB7" i="2"/>
  <c r="AB6" i="2" s="1"/>
  <c r="G167" i="5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29" i="5"/>
  <c r="D166" i="5"/>
  <c r="D165" i="5"/>
  <c r="K140" i="5"/>
  <c r="H169" i="5"/>
  <c r="K38" i="5"/>
  <c r="K96" i="5"/>
  <c r="E166" i="5"/>
  <c r="E165" i="5"/>
  <c r="K134" i="5"/>
  <c r="K25" i="5"/>
  <c r="K14" i="5"/>
  <c r="J171" i="5"/>
  <c r="J169" i="5"/>
  <c r="K119" i="5"/>
  <c r="AF73" i="3" l="1"/>
  <c r="AG73" i="3"/>
  <c r="AG342" i="3"/>
  <c r="AV342" i="3" s="1"/>
  <c r="AF342" i="3"/>
  <c r="AG301" i="3"/>
  <c r="AF301" i="3"/>
  <c r="AF113" i="3"/>
  <c r="AG113" i="3"/>
  <c r="C9" i="5"/>
  <c r="C166" i="5" s="1"/>
  <c r="G165" i="5"/>
  <c r="G166" i="5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68" i="5"/>
  <c r="K13" i="5"/>
  <c r="K168" i="5" s="1"/>
  <c r="K139" i="5"/>
  <c r="F182" i="5"/>
  <c r="K133" i="5"/>
  <c r="K182" i="5" s="1"/>
  <c r="H167" i="5"/>
  <c r="K95" i="5"/>
  <c r="I174" i="5"/>
  <c r="K37" i="5"/>
  <c r="K174" i="5" s="1"/>
  <c r="K128" i="5"/>
  <c r="I169" i="5"/>
  <c r="K20" i="5"/>
  <c r="K169" i="5" s="1"/>
  <c r="K118" i="5"/>
  <c r="I175" i="5"/>
  <c r="K78" i="5"/>
  <c r="K175" i="5" s="1"/>
  <c r="AG300" i="3" l="1"/>
  <c r="AF300" i="3"/>
  <c r="AF72" i="3"/>
  <c r="AG72" i="3"/>
  <c r="AV119" i="2"/>
  <c r="BG119" i="2"/>
  <c r="C8" i="5"/>
  <c r="C165" i="5" s="1"/>
  <c r="J167" i="5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66" i="5"/>
  <c r="H165" i="5"/>
  <c r="K123" i="5"/>
  <c r="K180" i="5" s="1"/>
  <c r="I180" i="5"/>
  <c r="F179" i="5"/>
  <c r="F178" i="5"/>
  <c r="I183" i="5"/>
  <c r="K138" i="5"/>
  <c r="K183" i="5" s="1"/>
  <c r="K94" i="5"/>
  <c r="I167" i="5"/>
  <c r="J166" i="5"/>
  <c r="J165" i="5"/>
  <c r="K12" i="5"/>
  <c r="AG5" i="3" l="1"/>
  <c r="AF5" i="3"/>
  <c r="X5" i="2"/>
  <c r="AB5" i="2"/>
  <c r="Z5" i="2"/>
  <c r="AE5" i="2"/>
  <c r="AF87" i="2"/>
  <c r="BG87" i="2" s="1"/>
  <c r="Y5" i="2"/>
  <c r="K11" i="5"/>
  <c r="I166" i="5"/>
  <c r="K93" i="5"/>
  <c r="AF5" i="2" l="1"/>
  <c r="BG5" i="2" s="1"/>
  <c r="I179" i="5"/>
  <c r="K92" i="5"/>
  <c r="K179" i="5" s="1"/>
  <c r="F167" i="5"/>
  <c r="K10" i="5"/>
  <c r="K167" i="5" s="1"/>
  <c r="F165" i="5" l="1"/>
  <c r="F166" i="5"/>
  <c r="K9" i="5"/>
  <c r="K166" i="5" s="1"/>
  <c r="I178" i="5"/>
  <c r="K91" i="5"/>
  <c r="K178" i="5" s="1"/>
  <c r="I165" i="5" l="1"/>
  <c r="K8" i="5"/>
  <c r="K165" i="5" s="1"/>
  <c r="E27" i="2" l="1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578" i="3"/>
  <c r="AT578" i="3" s="1"/>
  <c r="M578" i="3"/>
  <c r="AS578" i="3" s="1"/>
  <c r="L578" i="3"/>
  <c r="AR578" i="3" s="1"/>
  <c r="K578" i="3"/>
  <c r="AQ578" i="3" s="1"/>
  <c r="J578" i="3"/>
  <c r="AP578" i="3" s="1"/>
  <c r="I578" i="3"/>
  <c r="AO578" i="3" s="1"/>
  <c r="H578" i="3"/>
  <c r="AN578" i="3" s="1"/>
  <c r="G578" i="3"/>
  <c r="AM578" i="3" s="1"/>
  <c r="F578" i="3"/>
  <c r="AL578" i="3" s="1"/>
  <c r="E578" i="3"/>
  <c r="AK578" i="3" s="1"/>
  <c r="D578" i="3"/>
  <c r="AJ578" i="3" s="1"/>
  <c r="C578" i="3"/>
  <c r="AI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T452" i="3" s="1"/>
  <c r="M452" i="3"/>
  <c r="AS452" i="3" s="1"/>
  <c r="L452" i="3"/>
  <c r="AR452" i="3" s="1"/>
  <c r="K452" i="3"/>
  <c r="AQ452" i="3" s="1"/>
  <c r="J452" i="3"/>
  <c r="AP452" i="3" s="1"/>
  <c r="I452" i="3"/>
  <c r="AO452" i="3" s="1"/>
  <c r="H452" i="3"/>
  <c r="AN452" i="3" s="1"/>
  <c r="G452" i="3"/>
  <c r="AM452" i="3" s="1"/>
  <c r="F452" i="3"/>
  <c r="AL452" i="3" s="1"/>
  <c r="E452" i="3"/>
  <c r="AK452" i="3" s="1"/>
  <c r="D452" i="3"/>
  <c r="AJ452" i="3" s="1"/>
  <c r="C452" i="3"/>
  <c r="N444" i="3"/>
  <c r="AT444" i="3" s="1"/>
  <c r="M444" i="3"/>
  <c r="AS444" i="3" s="1"/>
  <c r="L444" i="3"/>
  <c r="AR444" i="3" s="1"/>
  <c r="K444" i="3"/>
  <c r="AQ444" i="3" s="1"/>
  <c r="J444" i="3"/>
  <c r="AP444" i="3" s="1"/>
  <c r="I444" i="3"/>
  <c r="AO444" i="3" s="1"/>
  <c r="H444" i="3"/>
  <c r="AN444" i="3" s="1"/>
  <c r="G444" i="3"/>
  <c r="AM444" i="3" s="1"/>
  <c r="F444" i="3"/>
  <c r="AL444" i="3" s="1"/>
  <c r="E444" i="3"/>
  <c r="AK444" i="3" s="1"/>
  <c r="D444" i="3"/>
  <c r="AJ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J438" i="3" s="1"/>
  <c r="C438" i="3"/>
  <c r="N427" i="3"/>
  <c r="AT427" i="3" s="1"/>
  <c r="M427" i="3"/>
  <c r="AS427" i="3" s="1"/>
  <c r="L427" i="3"/>
  <c r="AR427" i="3" s="1"/>
  <c r="K427" i="3"/>
  <c r="AQ427" i="3" s="1"/>
  <c r="J427" i="3"/>
  <c r="AP427" i="3" s="1"/>
  <c r="I427" i="3"/>
  <c r="AO427" i="3" s="1"/>
  <c r="H427" i="3"/>
  <c r="AN427" i="3" s="1"/>
  <c r="G427" i="3"/>
  <c r="AM427" i="3" s="1"/>
  <c r="F427" i="3"/>
  <c r="AL427" i="3" s="1"/>
  <c r="E427" i="3"/>
  <c r="AK427" i="3" s="1"/>
  <c r="D427" i="3"/>
  <c r="AJ427" i="3" s="1"/>
  <c r="C427" i="3"/>
  <c r="N424" i="3"/>
  <c r="AT424" i="3" s="1"/>
  <c r="M424" i="3"/>
  <c r="AS424" i="3" s="1"/>
  <c r="L424" i="3"/>
  <c r="AR424" i="3" s="1"/>
  <c r="K424" i="3"/>
  <c r="AQ424" i="3" s="1"/>
  <c r="J424" i="3"/>
  <c r="AP424" i="3" s="1"/>
  <c r="I424" i="3"/>
  <c r="AO424" i="3" s="1"/>
  <c r="H424" i="3"/>
  <c r="AN424" i="3" s="1"/>
  <c r="G424" i="3"/>
  <c r="AM424" i="3" s="1"/>
  <c r="F424" i="3"/>
  <c r="AL424" i="3" s="1"/>
  <c r="E424" i="3"/>
  <c r="AK424" i="3" s="1"/>
  <c r="D424" i="3"/>
  <c r="AJ424" i="3" s="1"/>
  <c r="C424" i="3"/>
  <c r="N421" i="3"/>
  <c r="AT421" i="3" s="1"/>
  <c r="M421" i="3"/>
  <c r="AS421" i="3" s="1"/>
  <c r="L421" i="3"/>
  <c r="AR421" i="3" s="1"/>
  <c r="K421" i="3"/>
  <c r="AQ421" i="3" s="1"/>
  <c r="J421" i="3"/>
  <c r="AP421" i="3" s="1"/>
  <c r="I421" i="3"/>
  <c r="AO421" i="3" s="1"/>
  <c r="H421" i="3"/>
  <c r="AN421" i="3" s="1"/>
  <c r="G421" i="3"/>
  <c r="AM421" i="3" s="1"/>
  <c r="F421" i="3"/>
  <c r="AL421" i="3" s="1"/>
  <c r="E421" i="3"/>
  <c r="AK421" i="3" s="1"/>
  <c r="D421" i="3"/>
  <c r="AJ421" i="3" s="1"/>
  <c r="C421" i="3"/>
  <c r="N414" i="3"/>
  <c r="AT414" i="3" s="1"/>
  <c r="M414" i="3"/>
  <c r="AS414" i="3" s="1"/>
  <c r="L414" i="3"/>
  <c r="AR414" i="3" s="1"/>
  <c r="K414" i="3"/>
  <c r="AQ414" i="3" s="1"/>
  <c r="J414" i="3"/>
  <c r="AP414" i="3" s="1"/>
  <c r="I414" i="3"/>
  <c r="AO414" i="3" s="1"/>
  <c r="H414" i="3"/>
  <c r="AN414" i="3" s="1"/>
  <c r="G414" i="3"/>
  <c r="AM414" i="3" s="1"/>
  <c r="F414" i="3"/>
  <c r="AL414" i="3" s="1"/>
  <c r="E414" i="3"/>
  <c r="AK414" i="3" s="1"/>
  <c r="D414" i="3"/>
  <c r="AJ414" i="3" s="1"/>
  <c r="C414" i="3"/>
  <c r="N412" i="3"/>
  <c r="AT412" i="3" s="1"/>
  <c r="M412" i="3"/>
  <c r="AS412" i="3" s="1"/>
  <c r="L412" i="3"/>
  <c r="AR412" i="3" s="1"/>
  <c r="K412" i="3"/>
  <c r="AQ412" i="3" s="1"/>
  <c r="J412" i="3"/>
  <c r="AP412" i="3" s="1"/>
  <c r="I412" i="3"/>
  <c r="AO412" i="3" s="1"/>
  <c r="H412" i="3"/>
  <c r="AN412" i="3" s="1"/>
  <c r="G412" i="3"/>
  <c r="AM412" i="3" s="1"/>
  <c r="F412" i="3"/>
  <c r="AL412" i="3" s="1"/>
  <c r="E412" i="3"/>
  <c r="AK412" i="3" s="1"/>
  <c r="D412" i="3"/>
  <c r="AJ412" i="3" s="1"/>
  <c r="C412" i="3"/>
  <c r="N407" i="3"/>
  <c r="AT407" i="3" s="1"/>
  <c r="M407" i="3"/>
  <c r="AS407" i="3" s="1"/>
  <c r="L407" i="3"/>
  <c r="AR407" i="3" s="1"/>
  <c r="K407" i="3"/>
  <c r="AQ407" i="3" s="1"/>
  <c r="J407" i="3"/>
  <c r="AP407" i="3" s="1"/>
  <c r="I407" i="3"/>
  <c r="AO407" i="3" s="1"/>
  <c r="H407" i="3"/>
  <c r="AN407" i="3" s="1"/>
  <c r="G407" i="3"/>
  <c r="AM407" i="3" s="1"/>
  <c r="F407" i="3"/>
  <c r="AL407" i="3" s="1"/>
  <c r="E407" i="3"/>
  <c r="AK407" i="3" s="1"/>
  <c r="D407" i="3"/>
  <c r="AJ407" i="3" s="1"/>
  <c r="C407" i="3"/>
  <c r="D404" i="3"/>
  <c r="AJ404" i="3" s="1"/>
  <c r="N404" i="3"/>
  <c r="AT404" i="3" s="1"/>
  <c r="M404" i="3"/>
  <c r="AS404" i="3" s="1"/>
  <c r="L404" i="3"/>
  <c r="AR404" i="3" s="1"/>
  <c r="K404" i="3"/>
  <c r="AQ404" i="3" s="1"/>
  <c r="J404" i="3"/>
  <c r="AP404" i="3" s="1"/>
  <c r="I404" i="3"/>
  <c r="AO404" i="3" s="1"/>
  <c r="H404" i="3"/>
  <c r="AN404" i="3" s="1"/>
  <c r="G404" i="3"/>
  <c r="AM404" i="3" s="1"/>
  <c r="F404" i="3"/>
  <c r="AL404" i="3" s="1"/>
  <c r="E404" i="3"/>
  <c r="AK404" i="3" s="1"/>
  <c r="C404" i="3"/>
  <c r="AT403" i="3"/>
  <c r="AS403" i="3"/>
  <c r="AR403" i="3"/>
  <c r="AQ403" i="3"/>
  <c r="AP403" i="3"/>
  <c r="AO403" i="3"/>
  <c r="AN403" i="3"/>
  <c r="AM403" i="3"/>
  <c r="AL403" i="3"/>
  <c r="AK403" i="3"/>
  <c r="AJ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U64" i="3" s="1"/>
  <c r="O99" i="3"/>
  <c r="O41" i="2"/>
  <c r="O55" i="2"/>
  <c r="O82" i="2"/>
  <c r="O60" i="2"/>
  <c r="O231" i="3"/>
  <c r="AU231" i="3" s="1"/>
  <c r="O241" i="3"/>
  <c r="AU241" i="3" s="1"/>
  <c r="O407" i="3"/>
  <c r="O414" i="3"/>
  <c r="AU414" i="3" s="1"/>
  <c r="O424" i="3"/>
  <c r="AU424" i="3" s="1"/>
  <c r="O438" i="3"/>
  <c r="AU438" i="3" s="1"/>
  <c r="O452" i="3"/>
  <c r="AU452" i="3" s="1"/>
  <c r="C67" i="2"/>
  <c r="O67" i="2" s="1"/>
  <c r="O70" i="2"/>
  <c r="O73" i="2"/>
  <c r="O127" i="2"/>
  <c r="C47" i="2"/>
  <c r="O47" i="2" s="1"/>
  <c r="O48" i="2"/>
  <c r="AL27" i="2"/>
  <c r="O27" i="2"/>
  <c r="O578" i="3"/>
  <c r="AU578" i="3" s="1"/>
  <c r="O404" i="3"/>
  <c r="AU404" i="3" s="1"/>
  <c r="O412" i="3"/>
  <c r="AU412" i="3" s="1"/>
  <c r="O421" i="3"/>
  <c r="AU421" i="3" s="1"/>
  <c r="O427" i="3"/>
  <c r="AU427" i="3" s="1"/>
  <c r="O444" i="3"/>
  <c r="AU444" i="3" s="1"/>
  <c r="O464" i="3"/>
  <c r="AU464" i="3" s="1"/>
  <c r="O303" i="3"/>
  <c r="AU303" i="3" s="1"/>
  <c r="O321" i="3"/>
  <c r="AU321" i="3" s="1"/>
  <c r="O376" i="3"/>
  <c r="AU376" i="3" s="1"/>
  <c r="O111" i="3"/>
  <c r="AU111" i="3" s="1"/>
  <c r="O128" i="3"/>
  <c r="AU128" i="3" s="1"/>
  <c r="O211" i="3"/>
  <c r="AU211" i="3" s="1"/>
  <c r="O222" i="3"/>
  <c r="AU222" i="3" s="1"/>
  <c r="O238" i="3"/>
  <c r="AU238" i="3" s="1"/>
  <c r="O30" i="3"/>
  <c r="AU30" i="3" s="1"/>
  <c r="O60" i="3"/>
  <c r="AU60" i="3" s="1"/>
  <c r="O133" i="3"/>
  <c r="AU133" i="3" s="1"/>
  <c r="O277" i="3"/>
  <c r="AU277" i="3" s="1"/>
  <c r="O312" i="3"/>
  <c r="AU312" i="3" s="1"/>
  <c r="O361" i="3"/>
  <c r="AU361" i="3" s="1"/>
  <c r="O26" i="3"/>
  <c r="AU26" i="3" s="1"/>
  <c r="O291" i="3"/>
  <c r="AU291" i="3" s="1"/>
  <c r="AU403" i="3"/>
  <c r="AU407" i="3"/>
  <c r="AU99" i="3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7" i="3"/>
  <c r="AN437" i="3" s="1"/>
  <c r="AN438" i="3"/>
  <c r="D463" i="3"/>
  <c r="AJ464" i="3"/>
  <c r="L463" i="3"/>
  <c r="AR464" i="3"/>
  <c r="H577" i="3"/>
  <c r="AN577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7" i="3"/>
  <c r="AO437" i="3" s="1"/>
  <c r="AO438" i="3"/>
  <c r="E463" i="3"/>
  <c r="AK464" i="3"/>
  <c r="M463" i="3"/>
  <c r="AS464" i="3"/>
  <c r="I577" i="3"/>
  <c r="AO577" i="3" s="1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7" i="3"/>
  <c r="AP437" i="3" s="1"/>
  <c r="AP438" i="3"/>
  <c r="F463" i="3"/>
  <c r="AL464" i="3"/>
  <c r="N463" i="3"/>
  <c r="AT464" i="3"/>
  <c r="J577" i="3"/>
  <c r="AP577" i="3" s="1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I303" i="3"/>
  <c r="AI321" i="3"/>
  <c r="AI376" i="3"/>
  <c r="AI403" i="3"/>
  <c r="AI407" i="3"/>
  <c r="AI414" i="3"/>
  <c r="AI424" i="3"/>
  <c r="C437" i="3"/>
  <c r="AI438" i="3"/>
  <c r="K437" i="3"/>
  <c r="AQ437" i="3" s="1"/>
  <c r="AQ438" i="3"/>
  <c r="AI452" i="3"/>
  <c r="G463" i="3"/>
  <c r="AM464" i="3"/>
  <c r="K577" i="3"/>
  <c r="AQ577" i="3" s="1"/>
  <c r="F44" i="3"/>
  <c r="AL44" i="3" s="1"/>
  <c r="AL45" i="3"/>
  <c r="I68" i="3"/>
  <c r="AO68" i="3" s="1"/>
  <c r="AO69" i="3"/>
  <c r="I76" i="3"/>
  <c r="AO77" i="3"/>
  <c r="C110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7" i="3"/>
  <c r="AR437" i="3" s="1"/>
  <c r="AR438" i="3"/>
  <c r="H463" i="3"/>
  <c r="AN464" i="3"/>
  <c r="D577" i="3"/>
  <c r="AJ577" i="3" s="1"/>
  <c r="L577" i="3"/>
  <c r="AR577" i="3" s="1"/>
  <c r="H44" i="3"/>
  <c r="AN44" i="3" s="1"/>
  <c r="AN45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7" i="3"/>
  <c r="AK437" i="3" s="1"/>
  <c r="AK438" i="3"/>
  <c r="M437" i="3"/>
  <c r="AS437" i="3" s="1"/>
  <c r="AS438" i="3"/>
  <c r="I463" i="3"/>
  <c r="AO464" i="3"/>
  <c r="E577" i="3"/>
  <c r="AK577" i="3" s="1"/>
  <c r="M577" i="3"/>
  <c r="AS577" i="3" s="1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I222" i="3"/>
  <c r="G230" i="3"/>
  <c r="AM230" i="3" s="1"/>
  <c r="AM231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7" i="3"/>
  <c r="AL437" i="3" s="1"/>
  <c r="AL438" i="3"/>
  <c r="N437" i="3"/>
  <c r="AT437" i="3" s="1"/>
  <c r="AT438" i="3"/>
  <c r="J463" i="3"/>
  <c r="AP464" i="3"/>
  <c r="F577" i="3"/>
  <c r="AL577" i="3" s="1"/>
  <c r="N577" i="3"/>
  <c r="AT577" i="3" s="1"/>
  <c r="AI9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I133" i="3"/>
  <c r="L130" i="3"/>
  <c r="AR130" i="3" s="1"/>
  <c r="AR133" i="3"/>
  <c r="G185" i="3"/>
  <c r="AM185" i="3" s="1"/>
  <c r="AM186" i="3"/>
  <c r="H230" i="3"/>
  <c r="AN230" i="3" s="1"/>
  <c r="AN231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I312" i="3"/>
  <c r="AI361" i="3"/>
  <c r="AI404" i="3"/>
  <c r="AI412" i="3"/>
  <c r="AI421" i="3"/>
  <c r="AI427" i="3"/>
  <c r="G437" i="3"/>
  <c r="AM437" i="3" s="1"/>
  <c r="AM438" i="3"/>
  <c r="AI444" i="3"/>
  <c r="AI464" i="3"/>
  <c r="K463" i="3"/>
  <c r="AQ464" i="3"/>
  <c r="G577" i="3"/>
  <c r="AM577" i="3" s="1"/>
  <c r="F367" i="3"/>
  <c r="AL367" i="3" s="1"/>
  <c r="M393" i="3"/>
  <c r="AS393" i="3" s="1"/>
  <c r="M400" i="3"/>
  <c r="AS400" i="3" s="1"/>
  <c r="I409" i="3"/>
  <c r="AO409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8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8" i="3"/>
  <c r="C367" i="3"/>
  <c r="J400" i="3"/>
  <c r="AP400" i="3" s="1"/>
  <c r="C393" i="3"/>
  <c r="K393" i="3"/>
  <c r="AQ393" i="3" s="1"/>
  <c r="K400" i="3"/>
  <c r="AQ400" i="3" s="1"/>
  <c r="G418" i="3"/>
  <c r="J418" i="3"/>
  <c r="M418" i="3"/>
  <c r="N418" i="3"/>
  <c r="I418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E53" i="2" s="1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6" i="3"/>
  <c r="AL456" i="3" s="1"/>
  <c r="N456" i="3"/>
  <c r="AT456" i="3" s="1"/>
  <c r="G323" i="3"/>
  <c r="AM323" i="3" s="1"/>
  <c r="G45" i="3"/>
  <c r="J130" i="3"/>
  <c r="AP130" i="3" s="1"/>
  <c r="E431" i="3"/>
  <c r="M431" i="3"/>
  <c r="F449" i="3"/>
  <c r="AL449" i="3" s="1"/>
  <c r="N449" i="3"/>
  <c r="AT449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09" i="3"/>
  <c r="G449" i="3"/>
  <c r="AM449" i="3" s="1"/>
  <c r="G456" i="3"/>
  <c r="AM456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09" i="3"/>
  <c r="D418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1" i="3"/>
  <c r="K431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49" i="3"/>
  <c r="AS449" i="3" s="1"/>
  <c r="E456" i="3"/>
  <c r="AK456" i="3" s="1"/>
  <c r="M456" i="3"/>
  <c r="AS456" i="3" s="1"/>
  <c r="F317" i="3"/>
  <c r="N317" i="3"/>
  <c r="C323" i="3"/>
  <c r="K323" i="3"/>
  <c r="AQ323" i="3" s="1"/>
  <c r="I378" i="3"/>
  <c r="AO378" i="3" s="1"/>
  <c r="J397" i="3"/>
  <c r="AP397" i="3" s="1"/>
  <c r="I423" i="3"/>
  <c r="AO423" i="3" s="1"/>
  <c r="F431" i="3"/>
  <c r="N431" i="3"/>
  <c r="D459" i="3"/>
  <c r="AJ459" i="3" s="1"/>
  <c r="L459" i="3"/>
  <c r="AR459" i="3" s="1"/>
  <c r="F459" i="3"/>
  <c r="AL459" i="3" s="1"/>
  <c r="I382" i="3"/>
  <c r="AO382" i="3" s="1"/>
  <c r="E323" i="3"/>
  <c r="AK323" i="3" s="1"/>
  <c r="M323" i="3"/>
  <c r="AS323" i="3" s="1"/>
  <c r="C358" i="3"/>
  <c r="K358" i="3"/>
  <c r="AQ358" i="3" s="1"/>
  <c r="H431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8" i="3"/>
  <c r="G431" i="3"/>
  <c r="H449" i="3"/>
  <c r="AN449" i="3" s="1"/>
  <c r="E459" i="3"/>
  <c r="AK459" i="3" s="1"/>
  <c r="M459" i="3"/>
  <c r="AS459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3" i="3"/>
  <c r="AR423" i="3" s="1"/>
  <c r="H459" i="3"/>
  <c r="AN459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3" i="3"/>
  <c r="AK423" i="3" s="1"/>
  <c r="D323" i="3"/>
  <c r="AJ323" i="3" s="1"/>
  <c r="L323" i="3"/>
  <c r="AR323" i="3" s="1"/>
  <c r="F328" i="3"/>
  <c r="N328" i="3"/>
  <c r="F423" i="3"/>
  <c r="AL423" i="3" s="1"/>
  <c r="N423" i="3"/>
  <c r="AT423" i="3" s="1"/>
  <c r="D431" i="3"/>
  <c r="AJ431" i="3" s="1"/>
  <c r="L431" i="3"/>
  <c r="D45" i="3"/>
  <c r="L45" i="3"/>
  <c r="M367" i="3"/>
  <c r="AS367" i="3" s="1"/>
  <c r="N378" i="3"/>
  <c r="AT378" i="3" s="1"/>
  <c r="F409" i="3"/>
  <c r="N409" i="3"/>
  <c r="C418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3" i="3"/>
  <c r="AN423" i="3" s="1"/>
  <c r="J431" i="3"/>
  <c r="I449" i="3"/>
  <c r="AO449" i="3" s="1"/>
  <c r="D449" i="3"/>
  <c r="AJ449" i="3" s="1"/>
  <c r="L449" i="3"/>
  <c r="AR449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49" i="3"/>
  <c r="AK449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G423" i="3"/>
  <c r="AM423" i="3" s="1"/>
  <c r="C449" i="3"/>
  <c r="K449" i="3"/>
  <c r="AQ449" i="3" s="1"/>
  <c r="D334" i="3"/>
  <c r="L334" i="3"/>
  <c r="I358" i="3"/>
  <c r="AO358" i="3" s="1"/>
  <c r="E382" i="3"/>
  <c r="AK382" i="3" s="1"/>
  <c r="M382" i="3"/>
  <c r="AS382" i="3" s="1"/>
  <c r="N459" i="3"/>
  <c r="AT459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09" i="3"/>
  <c r="I431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59" i="3"/>
  <c r="AM459" i="3" s="1"/>
  <c r="J306" i="3"/>
  <c r="AP306" i="3" s="1"/>
  <c r="E328" i="3"/>
  <c r="M328" i="3"/>
  <c r="G334" i="3"/>
  <c r="C346" i="3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49" i="3"/>
  <c r="AP449" i="3" s="1"/>
  <c r="H456" i="3"/>
  <c r="AN456" i="3" s="1"/>
  <c r="I317" i="3"/>
  <c r="H334" i="3"/>
  <c r="J373" i="3"/>
  <c r="AP373" i="3" s="1"/>
  <c r="H397" i="3"/>
  <c r="AN397" i="3" s="1"/>
  <c r="I456" i="3"/>
  <c r="AO456" i="3" s="1"/>
  <c r="E317" i="3"/>
  <c r="M317" i="3"/>
  <c r="F334" i="3"/>
  <c r="N334" i="3"/>
  <c r="D339" i="3"/>
  <c r="L339" i="3"/>
  <c r="G339" i="3"/>
  <c r="H370" i="3"/>
  <c r="AN370" i="3" s="1"/>
  <c r="C370" i="3"/>
  <c r="O370" i="3" s="1"/>
  <c r="K370" i="3"/>
  <c r="AQ370" i="3" s="1"/>
  <c r="H373" i="3"/>
  <c r="AN373" i="3" s="1"/>
  <c r="C373" i="3"/>
  <c r="K373" i="3"/>
  <c r="AQ373" i="3" s="1"/>
  <c r="F390" i="3"/>
  <c r="AL390" i="3" s="1"/>
  <c r="N390" i="3"/>
  <c r="AT390" i="3" s="1"/>
  <c r="K397" i="3"/>
  <c r="AQ397" i="3" s="1"/>
  <c r="D409" i="3"/>
  <c r="L409" i="3"/>
  <c r="G409" i="3"/>
  <c r="H328" i="3"/>
  <c r="C328" i="3"/>
  <c r="I346" i="3"/>
  <c r="AO346" i="3" s="1"/>
  <c r="D423" i="3"/>
  <c r="AJ423" i="3" s="1"/>
  <c r="J317" i="3"/>
  <c r="G328" i="3"/>
  <c r="I328" i="3"/>
  <c r="D367" i="3"/>
  <c r="AJ367" i="3" s="1"/>
  <c r="L367" i="3"/>
  <c r="AR367" i="3" s="1"/>
  <c r="J393" i="3"/>
  <c r="AP393" i="3" s="1"/>
  <c r="H418" i="3"/>
  <c r="M423" i="3"/>
  <c r="AS423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C28" i="3"/>
  <c r="O28" i="3" s="1"/>
  <c r="C45" i="3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3" i="3"/>
  <c r="AV283" i="3" s="1"/>
  <c r="C226" i="3"/>
  <c r="P278" i="3"/>
  <c r="AV278" i="3" s="1"/>
  <c r="C255" i="3"/>
  <c r="C285" i="3"/>
  <c r="C246" i="3"/>
  <c r="F286" i="3"/>
  <c r="O286" i="3" s="1"/>
  <c r="AU286" i="3" s="1"/>
  <c r="P287" i="3"/>
  <c r="AV287" i="3" s="1"/>
  <c r="P292" i="3"/>
  <c r="AV292" i="3" s="1"/>
  <c r="P299" i="3"/>
  <c r="AV299" i="3" s="1"/>
  <c r="C298" i="3"/>
  <c r="O298" i="3" s="1"/>
  <c r="F418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C423" i="3"/>
  <c r="I397" i="3"/>
  <c r="AO397" i="3" s="1"/>
  <c r="J423" i="3"/>
  <c r="AP423" i="3" s="1"/>
  <c r="D437" i="3"/>
  <c r="AJ437" i="3" s="1"/>
  <c r="I459" i="3"/>
  <c r="AO459" i="3" s="1"/>
  <c r="C463" i="3"/>
  <c r="I350" i="3"/>
  <c r="AO350" i="3" s="1"/>
  <c r="E358" i="3"/>
  <c r="AK358" i="3" s="1"/>
  <c r="M358" i="3"/>
  <c r="AS358" i="3" s="1"/>
  <c r="G363" i="3"/>
  <c r="AM363" i="3" s="1"/>
  <c r="C406" i="3"/>
  <c r="K423" i="3"/>
  <c r="AQ423" i="3" s="1"/>
  <c r="J456" i="3"/>
  <c r="AP456" i="3" s="1"/>
  <c r="J459" i="3"/>
  <c r="AP459" i="3" s="1"/>
  <c r="H390" i="3"/>
  <c r="AN390" i="3" s="1"/>
  <c r="E409" i="3"/>
  <c r="M409" i="3"/>
  <c r="C456" i="3"/>
  <c r="K456" i="3"/>
  <c r="AQ456" i="3" s="1"/>
  <c r="C459" i="3"/>
  <c r="K459" i="3"/>
  <c r="AQ459" i="3" s="1"/>
  <c r="J354" i="3"/>
  <c r="AP354" i="3" s="1"/>
  <c r="I363" i="3"/>
  <c r="AO363" i="3" s="1"/>
  <c r="D456" i="3"/>
  <c r="AJ456" i="3" s="1"/>
  <c r="L456" i="3"/>
  <c r="AR456" i="3" s="1"/>
  <c r="C577" i="3"/>
  <c r="AI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P26" i="2"/>
  <c r="AV26" i="2" s="1"/>
  <c r="P56" i="2"/>
  <c r="AV56" i="2" s="1"/>
  <c r="P71" i="2"/>
  <c r="C81" i="2"/>
  <c r="O81" i="2" s="1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C78" i="2"/>
  <c r="O78" i="2" s="1"/>
  <c r="P128" i="2"/>
  <c r="AV128" i="2" s="1"/>
  <c r="O354" i="3" l="1"/>
  <c r="O137" i="2"/>
  <c r="O199" i="3"/>
  <c r="O14" i="2"/>
  <c r="O249" i="3"/>
  <c r="O373" i="3"/>
  <c r="AU373" i="3" s="1"/>
  <c r="O24" i="2"/>
  <c r="O206" i="3"/>
  <c r="AU206" i="3" s="1"/>
  <c r="O255" i="3"/>
  <c r="AU255" i="3" s="1"/>
  <c r="O268" i="3"/>
  <c r="AU268" i="3" s="1"/>
  <c r="O191" i="3"/>
  <c r="AU191" i="3" s="1"/>
  <c r="O116" i="3"/>
  <c r="AU116" i="3" s="1"/>
  <c r="O36" i="2"/>
  <c r="O72" i="2"/>
  <c r="O29" i="2"/>
  <c r="C125" i="2"/>
  <c r="C124" i="2" s="1"/>
  <c r="O126" i="2"/>
  <c r="O54" i="2"/>
  <c r="O169" i="3"/>
  <c r="AU169" i="3" s="1"/>
  <c r="O19" i="3"/>
  <c r="O246" i="3"/>
  <c r="AU246" i="3" s="1"/>
  <c r="O87" i="3"/>
  <c r="AU87" i="3" s="1"/>
  <c r="O459" i="3"/>
  <c r="AU459" i="3" s="1"/>
  <c r="O69" i="3"/>
  <c r="AU69" i="3" s="1"/>
  <c r="O137" i="3"/>
  <c r="AU137" i="3" s="1"/>
  <c r="O121" i="3"/>
  <c r="AU121" i="3" s="1"/>
  <c r="O328" i="3"/>
  <c r="AU328" i="3" s="1"/>
  <c r="O382" i="3"/>
  <c r="O144" i="3"/>
  <c r="AU144" i="3" s="1"/>
  <c r="O226" i="3"/>
  <c r="AU226" i="3" s="1"/>
  <c r="O577" i="3"/>
  <c r="AU577" i="3" s="1"/>
  <c r="O186" i="3"/>
  <c r="AU186" i="3" s="1"/>
  <c r="O423" i="3"/>
  <c r="AU423" i="3" s="1"/>
  <c r="O263" i="3"/>
  <c r="AU263" i="3" s="1"/>
  <c r="O272" i="3"/>
  <c r="AU272" i="3" s="1"/>
  <c r="O163" i="3"/>
  <c r="AU163" i="3" s="1"/>
  <c r="O306" i="3"/>
  <c r="O251" i="3"/>
  <c r="AU251" i="3" s="1"/>
  <c r="O130" i="3"/>
  <c r="AU130" i="3" s="1"/>
  <c r="O290" i="3"/>
  <c r="AU290" i="3" s="1"/>
  <c r="O339" i="3"/>
  <c r="AU339" i="3" s="1"/>
  <c r="O152" i="3"/>
  <c r="AU152" i="3" s="1"/>
  <c r="O431" i="3"/>
  <c r="AU431" i="3" s="1"/>
  <c r="O230" i="3"/>
  <c r="AU230" i="3" s="1"/>
  <c r="O463" i="3"/>
  <c r="AU463" i="3" s="1"/>
  <c r="O214" i="3"/>
  <c r="AU214" i="3" s="1"/>
  <c r="O346" i="3"/>
  <c r="AU346" i="3" s="1"/>
  <c r="O334" i="3"/>
  <c r="AU334" i="3" s="1"/>
  <c r="O418" i="3"/>
  <c r="AU418" i="3" s="1"/>
  <c r="O35" i="3"/>
  <c r="AU35" i="3" s="1"/>
  <c r="O393" i="3"/>
  <c r="AU393" i="3" s="1"/>
  <c r="O449" i="3"/>
  <c r="AU449" i="3" s="1"/>
  <c r="O378" i="3"/>
  <c r="AU378" i="3" s="1"/>
  <c r="O110" i="3"/>
  <c r="AU110" i="3" s="1"/>
  <c r="O437" i="3"/>
  <c r="AU437" i="3" s="1"/>
  <c r="O84" i="3"/>
  <c r="AU84" i="3" s="1"/>
  <c r="O265" i="3"/>
  <c r="AU265" i="3" s="1"/>
  <c r="O323" i="3"/>
  <c r="AU323" i="3" s="1"/>
  <c r="O367" i="3"/>
  <c r="AU367" i="3" s="1"/>
  <c r="O409" i="3"/>
  <c r="AU409" i="3" s="1"/>
  <c r="O317" i="3"/>
  <c r="AU317" i="3" s="1"/>
  <c r="O175" i="3"/>
  <c r="AU175" i="3" s="1"/>
  <c r="O45" i="3"/>
  <c r="AU45" i="3" s="1"/>
  <c r="O101" i="3"/>
  <c r="AU101" i="3" s="1"/>
  <c r="O397" i="3"/>
  <c r="AU397" i="3" s="1"/>
  <c r="O91" i="3"/>
  <c r="AU91" i="3" s="1"/>
  <c r="O309" i="3"/>
  <c r="AU309" i="3" s="1"/>
  <c r="O94" i="3"/>
  <c r="AU94" i="3" s="1"/>
  <c r="O390" i="3"/>
  <c r="AU390" i="3" s="1"/>
  <c r="O240" i="3"/>
  <c r="AU240" i="3" s="1"/>
  <c r="O400" i="3"/>
  <c r="AU400" i="3" s="1"/>
  <c r="O196" i="3"/>
  <c r="AU196" i="3" s="1"/>
  <c r="O180" i="3"/>
  <c r="AU180" i="3" s="1"/>
  <c r="O456" i="3"/>
  <c r="AU456" i="3" s="1"/>
  <c r="O261" i="3"/>
  <c r="AU261" i="3" s="1"/>
  <c r="O363" i="3"/>
  <c r="AU363" i="3" s="1"/>
  <c r="O217" i="3"/>
  <c r="AU217" i="3" s="1"/>
  <c r="O159" i="3"/>
  <c r="AU159" i="3" s="1"/>
  <c r="O350" i="3"/>
  <c r="AU350" i="3" s="1"/>
  <c r="O139" i="3"/>
  <c r="AU139" i="3" s="1"/>
  <c r="O358" i="3"/>
  <c r="AU358" i="3" s="1"/>
  <c r="AU370" i="3"/>
  <c r="AU249" i="3"/>
  <c r="AU382" i="3"/>
  <c r="O9" i="3"/>
  <c r="AU9" i="3" s="1"/>
  <c r="AU199" i="3"/>
  <c r="AU306" i="3"/>
  <c r="C108" i="3"/>
  <c r="AI108" i="3" s="1"/>
  <c r="C53" i="2"/>
  <c r="O53" i="2" s="1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6" i="3"/>
  <c r="AO406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7" i="3"/>
  <c r="AL418" i="3"/>
  <c r="AI255" i="3"/>
  <c r="C120" i="3"/>
  <c r="AI121" i="3"/>
  <c r="H417" i="3"/>
  <c r="AN418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I334" i="3"/>
  <c r="C417" i="3"/>
  <c r="AI418" i="3"/>
  <c r="E120" i="3"/>
  <c r="AK120" i="3" s="1"/>
  <c r="AK121" i="3"/>
  <c r="H316" i="3"/>
  <c r="AN316" i="3" s="1"/>
  <c r="AN317" i="3"/>
  <c r="J68" i="3"/>
  <c r="AP68" i="3" s="1"/>
  <c r="AP69" i="3"/>
  <c r="K406" i="3"/>
  <c r="AQ406" i="3" s="1"/>
  <c r="AQ409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7" i="3"/>
  <c r="AP418" i="3"/>
  <c r="H289" i="3"/>
  <c r="AN290" i="3"/>
  <c r="D293" i="3"/>
  <c r="AJ293" i="3" s="1"/>
  <c r="AJ294" i="3"/>
  <c r="E280" i="3"/>
  <c r="AK281" i="3"/>
  <c r="G462" i="3"/>
  <c r="AM462" i="3" s="1"/>
  <c r="AM463" i="3"/>
  <c r="AI290" i="3"/>
  <c r="J289" i="3"/>
  <c r="AP290" i="3"/>
  <c r="E406" i="3"/>
  <c r="AK406" i="3" s="1"/>
  <c r="AK409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0" i="3"/>
  <c r="AO431" i="3"/>
  <c r="AI449" i="3"/>
  <c r="N406" i="3"/>
  <c r="AT406" i="3" s="1"/>
  <c r="AT409" i="3"/>
  <c r="N185" i="3"/>
  <c r="AT185" i="3" s="1"/>
  <c r="AT186" i="3"/>
  <c r="D76" i="3"/>
  <c r="O76" i="3" s="1"/>
  <c r="AJ77" i="3"/>
  <c r="G8" i="3"/>
  <c r="AM8" i="3" s="1"/>
  <c r="AM9" i="3"/>
  <c r="C34" i="3"/>
  <c r="AI35" i="3"/>
  <c r="AI390" i="3"/>
  <c r="G417" i="3"/>
  <c r="AM418" i="3"/>
  <c r="L417" i="3"/>
  <c r="AR418" i="3"/>
  <c r="K462" i="3"/>
  <c r="AQ462" i="3" s="1"/>
  <c r="AQ463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2" i="3"/>
  <c r="AT462" i="3" s="1"/>
  <c r="AT463" i="3"/>
  <c r="D289" i="3"/>
  <c r="AJ290" i="3"/>
  <c r="F75" i="3"/>
  <c r="AL75" i="3" s="1"/>
  <c r="AL76" i="3"/>
  <c r="M462" i="3"/>
  <c r="AS462" i="3" s="1"/>
  <c r="AS463" i="3"/>
  <c r="AI272" i="3"/>
  <c r="H333" i="3"/>
  <c r="AN334" i="3"/>
  <c r="C316" i="3"/>
  <c r="AI317" i="3"/>
  <c r="C224" i="3"/>
  <c r="AI226" i="3"/>
  <c r="AI199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6" i="3"/>
  <c r="AP406" i="3" s="1"/>
  <c r="AP409" i="3"/>
  <c r="F406" i="3"/>
  <c r="AL406" i="3" s="1"/>
  <c r="AL409" i="3"/>
  <c r="AI323" i="3"/>
  <c r="D417" i="3"/>
  <c r="AJ418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K75" i="3"/>
  <c r="AQ75" i="3" s="1"/>
  <c r="AQ76" i="3"/>
  <c r="G289" i="3"/>
  <c r="AM29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I206" i="3"/>
  <c r="AI180" i="3"/>
  <c r="P32" i="3"/>
  <c r="AV32" i="3" s="1"/>
  <c r="AU32" i="3"/>
  <c r="AI32" i="3"/>
  <c r="C327" i="3"/>
  <c r="AI328" i="3"/>
  <c r="M327" i="3"/>
  <c r="AS327" i="3" s="1"/>
  <c r="AS328" i="3"/>
  <c r="L316" i="3"/>
  <c r="AR316" i="3" s="1"/>
  <c r="AR317" i="3"/>
  <c r="AI261" i="3"/>
  <c r="P28" i="3"/>
  <c r="AV28" i="3" s="1"/>
  <c r="AU28" i="3"/>
  <c r="AI28" i="3"/>
  <c r="G406" i="3"/>
  <c r="AM406" i="3" s="1"/>
  <c r="AM409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I101" i="3"/>
  <c r="H8" i="3"/>
  <c r="AN8" i="3" s="1"/>
  <c r="AN9" i="3"/>
  <c r="C396" i="3"/>
  <c r="AI397" i="3"/>
  <c r="J338" i="3"/>
  <c r="AP339" i="3"/>
  <c r="N327" i="3"/>
  <c r="AT327" i="3" s="1"/>
  <c r="AT328" i="3"/>
  <c r="AI91" i="3"/>
  <c r="H430" i="3"/>
  <c r="AN431" i="3"/>
  <c r="N316" i="3"/>
  <c r="AT316" i="3" s="1"/>
  <c r="AT317" i="3"/>
  <c r="L327" i="3"/>
  <c r="AR327" i="3" s="1"/>
  <c r="AR328" i="3"/>
  <c r="H406" i="3"/>
  <c r="AN406" i="3" s="1"/>
  <c r="AN409" i="3"/>
  <c r="J333" i="3"/>
  <c r="AP334" i="3"/>
  <c r="F185" i="3"/>
  <c r="AL185" i="3" s="1"/>
  <c r="AL186" i="3"/>
  <c r="AI94" i="3"/>
  <c r="L108" i="3"/>
  <c r="I417" i="3"/>
  <c r="AO418" i="3"/>
  <c r="I289" i="3"/>
  <c r="AO290" i="3"/>
  <c r="H462" i="3"/>
  <c r="AN462" i="3" s="1"/>
  <c r="AN463" i="3"/>
  <c r="N289" i="3"/>
  <c r="AT290" i="3"/>
  <c r="D280" i="3"/>
  <c r="AJ281" i="3"/>
  <c r="M289" i="3"/>
  <c r="AS290" i="3"/>
  <c r="G280" i="3"/>
  <c r="AM281" i="3"/>
  <c r="F462" i="3"/>
  <c r="AL462" i="3" s="1"/>
  <c r="AL463" i="3"/>
  <c r="H284" i="3"/>
  <c r="AN284" i="3" s="1"/>
  <c r="AN285" i="3"/>
  <c r="E462" i="3"/>
  <c r="AK462" i="3" s="1"/>
  <c r="AK463" i="3"/>
  <c r="H293" i="3"/>
  <c r="AN293" i="3" s="1"/>
  <c r="AN294" i="3"/>
  <c r="AI263" i="3"/>
  <c r="AI116" i="3"/>
  <c r="AI459" i="3"/>
  <c r="K316" i="3"/>
  <c r="AQ316" i="3" s="1"/>
  <c r="AQ317" i="3"/>
  <c r="AI196" i="3"/>
  <c r="AI265" i="3"/>
  <c r="AI69" i="3"/>
  <c r="AI382" i="3"/>
  <c r="AI406" i="3"/>
  <c r="AI175" i="3"/>
  <c r="H190" i="3"/>
  <c r="AN190" i="3" s="1"/>
  <c r="AN199" i="3"/>
  <c r="C44" i="3"/>
  <c r="AI45" i="3"/>
  <c r="H327" i="3"/>
  <c r="AN327" i="3" s="1"/>
  <c r="AN328" i="3"/>
  <c r="AI456" i="3"/>
  <c r="M406" i="3"/>
  <c r="AS406" i="3" s="1"/>
  <c r="AS409" i="3"/>
  <c r="AI423" i="3"/>
  <c r="D316" i="3"/>
  <c r="AJ316" i="3" s="1"/>
  <c r="AJ317" i="3"/>
  <c r="AI268" i="3"/>
  <c r="AI159" i="3"/>
  <c r="AI169" i="3"/>
  <c r="P66" i="3"/>
  <c r="AV66" i="3" s="1"/>
  <c r="AU66" i="3"/>
  <c r="AI66" i="3"/>
  <c r="AU19" i="3"/>
  <c r="AI19" i="3"/>
  <c r="I327" i="3"/>
  <c r="AO327" i="3" s="1"/>
  <c r="AO328" i="3"/>
  <c r="L406" i="3"/>
  <c r="AR406" i="3" s="1"/>
  <c r="AR409" i="3"/>
  <c r="M316" i="3"/>
  <c r="AS316" i="3" s="1"/>
  <c r="AS317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0" i="3"/>
  <c r="AP431" i="3"/>
  <c r="F327" i="3"/>
  <c r="AL327" i="3" s="1"/>
  <c r="AL328" i="3"/>
  <c r="G430" i="3"/>
  <c r="AM431" i="3"/>
  <c r="I338" i="3"/>
  <c r="AO339" i="3"/>
  <c r="N430" i="3"/>
  <c r="AT431" i="3"/>
  <c r="F316" i="3"/>
  <c r="AL316" i="3" s="1"/>
  <c r="AL317" i="3"/>
  <c r="M386" i="3"/>
  <c r="AS386" i="3" s="1"/>
  <c r="AS390" i="3"/>
  <c r="M190" i="3"/>
  <c r="AS190" i="3" s="1"/>
  <c r="AS196" i="3"/>
  <c r="M430" i="3"/>
  <c r="AS431" i="3"/>
  <c r="AI251" i="3"/>
  <c r="M338" i="3"/>
  <c r="AS339" i="3"/>
  <c r="G68" i="3"/>
  <c r="AM68" i="3" s="1"/>
  <c r="AM69" i="3"/>
  <c r="AI393" i="3"/>
  <c r="AI130" i="3"/>
  <c r="J462" i="3"/>
  <c r="AP462" i="3" s="1"/>
  <c r="AP463" i="3"/>
  <c r="M293" i="3"/>
  <c r="AS293" i="3" s="1"/>
  <c r="AS294" i="3"/>
  <c r="K284" i="3"/>
  <c r="AQ284" i="3" s="1"/>
  <c r="AQ285" i="3"/>
  <c r="AI110" i="3"/>
  <c r="J280" i="3"/>
  <c r="AP281" i="3"/>
  <c r="E75" i="3"/>
  <c r="AK75" i="3" s="1"/>
  <c r="AK76" i="3"/>
  <c r="L462" i="3"/>
  <c r="AR462" i="3" s="1"/>
  <c r="AR463" i="3"/>
  <c r="E284" i="3"/>
  <c r="AK284" i="3" s="1"/>
  <c r="AK285" i="3"/>
  <c r="AU77" i="3"/>
  <c r="AI163" i="3"/>
  <c r="G327" i="3"/>
  <c r="AM327" i="3" s="1"/>
  <c r="AM328" i="3"/>
  <c r="D406" i="3"/>
  <c r="AJ406" i="3" s="1"/>
  <c r="AJ409" i="3"/>
  <c r="AI370" i="3"/>
  <c r="E316" i="3"/>
  <c r="AK316" i="3" s="1"/>
  <c r="AK317" i="3"/>
  <c r="K224" i="3"/>
  <c r="AQ226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7" i="3"/>
  <c r="AK418" i="3"/>
  <c r="I333" i="3"/>
  <c r="AO334" i="3"/>
  <c r="AI358" i="3"/>
  <c r="F430" i="3"/>
  <c r="AL431" i="3"/>
  <c r="D327" i="3"/>
  <c r="AJ327" i="3" s="1"/>
  <c r="AJ328" i="3"/>
  <c r="E190" i="3"/>
  <c r="AK190" i="3" s="1"/>
  <c r="AK196" i="3"/>
  <c r="AI306" i="3"/>
  <c r="E430" i="3"/>
  <c r="AK431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I246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0" i="3"/>
  <c r="AQ431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7" i="3"/>
  <c r="AT418" i="3"/>
  <c r="AI367" i="3"/>
  <c r="E293" i="3"/>
  <c r="AK293" i="3" s="1"/>
  <c r="AK294" i="3"/>
  <c r="F280" i="3"/>
  <c r="AL280" i="3" s="1"/>
  <c r="AL281" i="3"/>
  <c r="I462" i="3"/>
  <c r="AO462" i="3" s="1"/>
  <c r="AO463" i="3"/>
  <c r="L293" i="3"/>
  <c r="AR293" i="3" s="1"/>
  <c r="AR294" i="3"/>
  <c r="N280" i="3"/>
  <c r="AT281" i="3"/>
  <c r="I75" i="3"/>
  <c r="AO75" i="3" s="1"/>
  <c r="AO76" i="3"/>
  <c r="D462" i="3"/>
  <c r="AJ462" i="3" s="1"/>
  <c r="AJ463" i="3"/>
  <c r="G293" i="3"/>
  <c r="AM293" i="3" s="1"/>
  <c r="AM294" i="3"/>
  <c r="I280" i="3"/>
  <c r="AO281" i="3"/>
  <c r="AU354" i="3"/>
  <c r="AI354" i="3"/>
  <c r="AI191" i="3"/>
  <c r="AI463" i="3"/>
  <c r="AU295" i="3"/>
  <c r="AI295" i="3"/>
  <c r="AI285" i="3"/>
  <c r="M224" i="3"/>
  <c r="AS226" i="3"/>
  <c r="AI214" i="3"/>
  <c r="AI137" i="3"/>
  <c r="G338" i="3"/>
  <c r="AM339" i="3"/>
  <c r="AI346" i="3"/>
  <c r="C338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0" i="3"/>
  <c r="AR431" i="3"/>
  <c r="AI152" i="3"/>
  <c r="C430" i="3"/>
  <c r="AI431" i="3"/>
  <c r="F68" i="3"/>
  <c r="AL68" i="3" s="1"/>
  <c r="AL69" i="3"/>
  <c r="AI309" i="3"/>
  <c r="M108" i="3"/>
  <c r="F338" i="3"/>
  <c r="AL339" i="3"/>
  <c r="E185" i="3"/>
  <c r="AK185" i="3" s="1"/>
  <c r="AK186" i="3"/>
  <c r="G44" i="3"/>
  <c r="AM44" i="3" s="1"/>
  <c r="AM45" i="3"/>
  <c r="AI378" i="3"/>
  <c r="F224" i="3"/>
  <c r="AL226" i="3"/>
  <c r="N108" i="3"/>
  <c r="L34" i="3"/>
  <c r="AR34" i="3" s="1"/>
  <c r="AR35" i="3"/>
  <c r="L120" i="3"/>
  <c r="AR121" i="3"/>
  <c r="M417" i="3"/>
  <c r="AS418" i="3"/>
  <c r="K417" i="3"/>
  <c r="AQ418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I437" i="3"/>
  <c r="I284" i="3"/>
  <c r="AO284" i="3" s="1"/>
  <c r="AO285" i="3"/>
  <c r="L289" i="3"/>
  <c r="AR290" i="3"/>
  <c r="AI230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3" i="3"/>
  <c r="F205" i="3"/>
  <c r="AL205" i="3" s="1"/>
  <c r="M267" i="3"/>
  <c r="AS267" i="3" s="1"/>
  <c r="C386" i="3"/>
  <c r="F305" i="3"/>
  <c r="E386" i="3"/>
  <c r="AK386" i="3" s="1"/>
  <c r="J305" i="3"/>
  <c r="AO54" i="2"/>
  <c r="AL53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3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3" i="3"/>
  <c r="J443" i="3"/>
  <c r="C443" i="3"/>
  <c r="L83" i="3"/>
  <c r="L150" i="3"/>
  <c r="AR150" i="3" s="1"/>
  <c r="G443" i="3"/>
  <c r="K345" i="3"/>
  <c r="J190" i="3"/>
  <c r="AP190" i="3" s="1"/>
  <c r="L443" i="3"/>
  <c r="K150" i="3"/>
  <c r="AQ150" i="3" s="1"/>
  <c r="E443" i="3"/>
  <c r="D443" i="3"/>
  <c r="C205" i="3"/>
  <c r="E205" i="3"/>
  <c r="AK205" i="3" s="1"/>
  <c r="H205" i="3"/>
  <c r="AN205" i="3" s="1"/>
  <c r="K83" i="3"/>
  <c r="I443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0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3" i="3"/>
  <c r="P291" i="3"/>
  <c r="AV291" i="3" s="1"/>
  <c r="P231" i="3"/>
  <c r="AV231" i="3" s="1"/>
  <c r="D267" i="3"/>
  <c r="AJ267" i="3" s="1"/>
  <c r="M83" i="3"/>
  <c r="K267" i="3"/>
  <c r="AQ267" i="3" s="1"/>
  <c r="F443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P298" i="3"/>
  <c r="AV298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P268" i="3"/>
  <c r="AV268" i="3" s="1"/>
  <c r="C462" i="3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O92" i="2" s="1"/>
  <c r="C77" i="2"/>
  <c r="O77" i="2" s="1"/>
  <c r="P78" i="2"/>
  <c r="AV78" i="2" s="1"/>
  <c r="C136" i="2"/>
  <c r="P137" i="2"/>
  <c r="AV137" i="2" s="1"/>
  <c r="C23" i="2"/>
  <c r="C132" i="2"/>
  <c r="O132" i="2" s="1"/>
  <c r="P133" i="2"/>
  <c r="AV133" i="2" s="1"/>
  <c r="AJ125" i="2" l="1"/>
  <c r="O136" i="2"/>
  <c r="O12" i="2"/>
  <c r="O462" i="3"/>
  <c r="AU462" i="3" s="1"/>
  <c r="O23" i="2"/>
  <c r="O68" i="3"/>
  <c r="AU68" i="3" s="1"/>
  <c r="O80" i="2"/>
  <c r="O125" i="2"/>
  <c r="O305" i="3"/>
  <c r="AU305" i="3" s="1"/>
  <c r="O136" i="3"/>
  <c r="AU136" i="3" s="1"/>
  <c r="O254" i="3"/>
  <c r="O44" i="3"/>
  <c r="AU44" i="3" s="1"/>
  <c r="O396" i="3"/>
  <c r="AU396" i="3" s="1"/>
  <c r="O316" i="3"/>
  <c r="AU316" i="3" s="1"/>
  <c r="O406" i="3"/>
  <c r="O205" i="3"/>
  <c r="AU205" i="3" s="1"/>
  <c r="O83" i="3"/>
  <c r="AU83" i="3" s="1"/>
  <c r="O430" i="3"/>
  <c r="AU430" i="3" s="1"/>
  <c r="O327" i="3"/>
  <c r="AU327" i="3" s="1"/>
  <c r="O185" i="3"/>
  <c r="AU185" i="3" s="1"/>
  <c r="O345" i="3"/>
  <c r="AU345" i="3" s="1"/>
  <c r="O34" i="3"/>
  <c r="AU34" i="3" s="1"/>
  <c r="O285" i="3"/>
  <c r="AU285" i="3" s="1"/>
  <c r="O443" i="3"/>
  <c r="AU443" i="3" s="1"/>
  <c r="O417" i="3"/>
  <c r="AU417" i="3" s="1"/>
  <c r="C107" i="3"/>
  <c r="AI107" i="3" s="1"/>
  <c r="O108" i="3"/>
  <c r="AU108" i="3" s="1"/>
  <c r="O267" i="3"/>
  <c r="AU267" i="3" s="1"/>
  <c r="O338" i="3"/>
  <c r="AU338" i="3" s="1"/>
  <c r="O333" i="3"/>
  <c r="AU333" i="3" s="1"/>
  <c r="O224" i="3"/>
  <c r="AU224" i="3" s="1"/>
  <c r="O120" i="3"/>
  <c r="AU120" i="3" s="1"/>
  <c r="O190" i="3"/>
  <c r="AU190" i="3" s="1"/>
  <c r="O386" i="3"/>
  <c r="AU386" i="3" s="1"/>
  <c r="O8" i="3"/>
  <c r="AU8" i="3" s="1"/>
  <c r="C315" i="3"/>
  <c r="C337" i="3"/>
  <c r="AU76" i="3"/>
  <c r="C115" i="3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124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AU406" i="3"/>
  <c r="N237" i="3"/>
  <c r="AT237" i="3" s="1"/>
  <c r="AT254" i="3"/>
  <c r="AJ83" i="3"/>
  <c r="M416" i="3"/>
  <c r="AS416" i="3" s="1"/>
  <c r="AS417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2" i="3"/>
  <c r="AJ443" i="3"/>
  <c r="AR83" i="3"/>
  <c r="H442" i="3"/>
  <c r="AN443" i="3"/>
  <c r="J315" i="3"/>
  <c r="F302" i="3"/>
  <c r="AL302" i="3" s="1"/>
  <c r="AL305" i="3"/>
  <c r="L43" i="3"/>
  <c r="AR43" i="3" s="1"/>
  <c r="M107" i="3"/>
  <c r="AS107" i="3" s="1"/>
  <c r="AS108" i="3"/>
  <c r="AI316" i="3"/>
  <c r="H221" i="3"/>
  <c r="AN224" i="3"/>
  <c r="H416" i="3"/>
  <c r="AN416" i="3" s="1"/>
  <c r="AN417" i="3"/>
  <c r="K344" i="3"/>
  <c r="AQ344" i="3" s="1"/>
  <c r="AQ345" i="3"/>
  <c r="N302" i="3"/>
  <c r="AT302" i="3" s="1"/>
  <c r="AT305" i="3"/>
  <c r="E7" i="3"/>
  <c r="AK7" i="3" s="1"/>
  <c r="AK8" i="3"/>
  <c r="M442" i="3"/>
  <c r="AS443" i="3"/>
  <c r="AI386" i="3"/>
  <c r="G337" i="3"/>
  <c r="AM337" i="3" s="1"/>
  <c r="AM338" i="3"/>
  <c r="E332" i="3"/>
  <c r="AK333" i="3"/>
  <c r="E221" i="3"/>
  <c r="AK224" i="3"/>
  <c r="F284" i="3"/>
  <c r="O284" i="3" s="1"/>
  <c r="AU284" i="3" s="1"/>
  <c r="AL285" i="3"/>
  <c r="D221" i="3"/>
  <c r="AJ224" i="3"/>
  <c r="M429" i="3"/>
  <c r="AS429" i="3" s="1"/>
  <c r="AS430" i="3"/>
  <c r="G221" i="3"/>
  <c r="AM224" i="3"/>
  <c r="I221" i="3"/>
  <c r="AO224" i="3"/>
  <c r="AS289" i="3"/>
  <c r="M288" i="3"/>
  <c r="AS288" i="3" s="1"/>
  <c r="AO289" i="3"/>
  <c r="I288" i="3"/>
  <c r="AO288" i="3" s="1"/>
  <c r="AI327" i="3"/>
  <c r="AR280" i="3"/>
  <c r="L279" i="3"/>
  <c r="AR279" i="3" s="1"/>
  <c r="AN280" i="3"/>
  <c r="H279" i="3"/>
  <c r="AN279" i="3" s="1"/>
  <c r="G416" i="3"/>
  <c r="AM416" i="3" s="1"/>
  <c r="AM417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2" i="3"/>
  <c r="AK443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M344" i="3"/>
  <c r="AS345" i="3"/>
  <c r="J344" i="3"/>
  <c r="AP344" i="3" s="1"/>
  <c r="AP345" i="3"/>
  <c r="AM83" i="3"/>
  <c r="J442" i="3"/>
  <c r="AP443" i="3"/>
  <c r="E150" i="3"/>
  <c r="AK150" i="3" s="1"/>
  <c r="D302" i="3"/>
  <c r="AJ302" i="3" s="1"/>
  <c r="AJ305" i="3"/>
  <c r="K302" i="3"/>
  <c r="AQ302" i="3" s="1"/>
  <c r="AQ305" i="3"/>
  <c r="AK83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29" i="3"/>
  <c r="AO429" i="3" s="1"/>
  <c r="AO430" i="3"/>
  <c r="H337" i="3"/>
  <c r="AN337" i="3" s="1"/>
  <c r="AN338" i="3"/>
  <c r="K74" i="3"/>
  <c r="AQ83" i="3"/>
  <c r="E302" i="3"/>
  <c r="AK302" i="3" s="1"/>
  <c r="AK305" i="3"/>
  <c r="C237" i="3"/>
  <c r="AU254" i="3"/>
  <c r="AI254" i="3"/>
  <c r="AI8" i="3"/>
  <c r="G302" i="3"/>
  <c r="AM302" i="3" s="1"/>
  <c r="AM305" i="3"/>
  <c r="AI136" i="3"/>
  <c r="AI443" i="3"/>
  <c r="AI284" i="3"/>
  <c r="P68" i="3"/>
  <c r="AV68" i="3" s="1"/>
  <c r="AI68" i="3"/>
  <c r="G344" i="3"/>
  <c r="AM344" i="3" s="1"/>
  <c r="AM345" i="3"/>
  <c r="J237" i="3"/>
  <c r="AP237" i="3" s="1"/>
  <c r="AP254" i="3"/>
  <c r="F442" i="3"/>
  <c r="AL443" i="3"/>
  <c r="D429" i="3"/>
  <c r="AJ429" i="3" s="1"/>
  <c r="AJ430" i="3"/>
  <c r="I442" i="3"/>
  <c r="AO443" i="3"/>
  <c r="L442" i="3"/>
  <c r="AR443" i="3"/>
  <c r="K442" i="3"/>
  <c r="AQ443" i="3"/>
  <c r="M302" i="3"/>
  <c r="AS302" i="3" s="1"/>
  <c r="AS305" i="3"/>
  <c r="M237" i="3"/>
  <c r="AS237" i="3" s="1"/>
  <c r="AS254" i="3"/>
  <c r="I302" i="3"/>
  <c r="AO302" i="3" s="1"/>
  <c r="AO305" i="3"/>
  <c r="K416" i="3"/>
  <c r="AQ416" i="3" s="1"/>
  <c r="AQ417" i="3"/>
  <c r="L429" i="3"/>
  <c r="AR429" i="3" s="1"/>
  <c r="AR430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29" i="3"/>
  <c r="AQ429" i="3" s="1"/>
  <c r="AQ430" i="3"/>
  <c r="L332" i="3"/>
  <c r="AR333" i="3"/>
  <c r="K337" i="3"/>
  <c r="AQ337" i="3" s="1"/>
  <c r="AQ338" i="3"/>
  <c r="AK289" i="3"/>
  <c r="E288" i="3"/>
  <c r="AK288" i="3" s="1"/>
  <c r="E429" i="3"/>
  <c r="AK429" i="3" s="1"/>
  <c r="AK430" i="3"/>
  <c r="I332" i="3"/>
  <c r="AO333" i="3"/>
  <c r="M332" i="3"/>
  <c r="AS333" i="3"/>
  <c r="AP280" i="3"/>
  <c r="J279" i="3"/>
  <c r="AP279" i="3" s="1"/>
  <c r="N429" i="3"/>
  <c r="AT429" i="3" s="1"/>
  <c r="AT430" i="3"/>
  <c r="J429" i="3"/>
  <c r="AP429" i="3" s="1"/>
  <c r="AP430" i="3"/>
  <c r="AJ280" i="3"/>
  <c r="D279" i="3"/>
  <c r="AJ279" i="3" s="1"/>
  <c r="I416" i="3"/>
  <c r="AO416" i="3" s="1"/>
  <c r="AO417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I120" i="3"/>
  <c r="AT83" i="3"/>
  <c r="J302" i="3"/>
  <c r="AP302" i="3" s="1"/>
  <c r="AP305" i="3"/>
  <c r="N442" i="3"/>
  <c r="AT443" i="3"/>
  <c r="L107" i="3"/>
  <c r="AR107" i="3" s="1"/>
  <c r="AR108" i="3"/>
  <c r="J332" i="3"/>
  <c r="AP333" i="3"/>
  <c r="H429" i="3"/>
  <c r="AN429" i="3" s="1"/>
  <c r="AN430" i="3"/>
  <c r="D416" i="3"/>
  <c r="AJ416" i="3" s="1"/>
  <c r="AJ417" i="3"/>
  <c r="N221" i="3"/>
  <c r="AT224" i="3"/>
  <c r="G332" i="3"/>
  <c r="AM333" i="3"/>
  <c r="N107" i="3"/>
  <c r="AT107" i="3" s="1"/>
  <c r="AT10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6" i="3"/>
  <c r="AK416" i="3" s="1"/>
  <c r="AK417" i="3"/>
  <c r="M337" i="3"/>
  <c r="AS337" i="3" s="1"/>
  <c r="AS338" i="3"/>
  <c r="I337" i="3"/>
  <c r="AO337" i="3" s="1"/>
  <c r="AO338" i="3"/>
  <c r="AT289" i="3"/>
  <c r="N288" i="3"/>
  <c r="AT288" i="3" s="1"/>
  <c r="AI396" i="3"/>
  <c r="C221" i="3"/>
  <c r="AI224" i="3"/>
  <c r="AS280" i="3"/>
  <c r="M279" i="3"/>
  <c r="AS279" i="3" s="1"/>
  <c r="D337" i="3"/>
  <c r="AJ337" i="3" s="1"/>
  <c r="AJ338" i="3"/>
  <c r="J416" i="3"/>
  <c r="AP416" i="3" s="1"/>
  <c r="AP417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I34" i="3"/>
  <c r="C416" i="3"/>
  <c r="AI417" i="3"/>
  <c r="L337" i="3"/>
  <c r="AR337" i="3" s="1"/>
  <c r="AR338" i="3"/>
  <c r="C302" i="3"/>
  <c r="AI305" i="3"/>
  <c r="AS83" i="3"/>
  <c r="D344" i="3"/>
  <c r="AJ344" i="3" s="1"/>
  <c r="AJ345" i="3"/>
  <c r="AI345" i="3"/>
  <c r="AO83" i="3"/>
  <c r="G442" i="3"/>
  <c r="AM443" i="3"/>
  <c r="G315" i="3"/>
  <c r="AI462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I205" i="3"/>
  <c r="H302" i="3"/>
  <c r="AN302" i="3" s="1"/>
  <c r="AN305" i="3"/>
  <c r="AI83" i="3"/>
  <c r="H237" i="3"/>
  <c r="AN237" i="3" s="1"/>
  <c r="AN254" i="3"/>
  <c r="M315" i="3"/>
  <c r="F221" i="3"/>
  <c r="AL224" i="3"/>
  <c r="F337" i="3"/>
  <c r="AL337" i="3" s="1"/>
  <c r="AL338" i="3"/>
  <c r="C429" i="3"/>
  <c r="AI430" i="3"/>
  <c r="D332" i="3"/>
  <c r="AJ332" i="3" s="1"/>
  <c r="AJ333" i="3"/>
  <c r="M221" i="3"/>
  <c r="AS224" i="3"/>
  <c r="N416" i="3"/>
  <c r="AT416" i="3" s="1"/>
  <c r="AT417" i="3"/>
  <c r="J221" i="3"/>
  <c r="AP224" i="3"/>
  <c r="I115" i="3"/>
  <c r="AO115" i="3" s="1"/>
  <c r="AO120" i="3"/>
  <c r="AQ280" i="3"/>
  <c r="K279" i="3"/>
  <c r="AQ279" i="3" s="1"/>
  <c r="F429" i="3"/>
  <c r="AL429" i="3" s="1"/>
  <c r="AL430" i="3"/>
  <c r="K221" i="3"/>
  <c r="AQ224" i="3"/>
  <c r="G429" i="3"/>
  <c r="AM429" i="3" s="1"/>
  <c r="AM430" i="3"/>
  <c r="AI44" i="3"/>
  <c r="AM280" i="3"/>
  <c r="G279" i="3"/>
  <c r="AM279" i="3" s="1"/>
  <c r="AM289" i="3"/>
  <c r="G288" i="3"/>
  <c r="AM288" i="3" s="1"/>
  <c r="L416" i="3"/>
  <c r="AR416" i="3" s="1"/>
  <c r="AR417" i="3"/>
  <c r="AK280" i="3"/>
  <c r="E279" i="3"/>
  <c r="AK279" i="3" s="1"/>
  <c r="F416" i="3"/>
  <c r="AL416" i="3" s="1"/>
  <c r="AL417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O43" i="3" s="1"/>
  <c r="C75" i="3"/>
  <c r="P281" i="3"/>
  <c r="AV281" i="3" s="1"/>
  <c r="C280" i="3"/>
  <c r="O280" i="3" s="1"/>
  <c r="C442" i="3"/>
  <c r="C289" i="3"/>
  <c r="O289" i="3" s="1"/>
  <c r="C91" i="2"/>
  <c r="O91" i="2" s="1"/>
  <c r="P23" i="2"/>
  <c r="AV23" i="2" s="1"/>
  <c r="C22" i="2"/>
  <c r="C135" i="2"/>
  <c r="P136" i="2"/>
  <c r="AV136" i="2" s="1"/>
  <c r="P132" i="2"/>
  <c r="AV132" i="2" s="1"/>
  <c r="C131" i="2"/>
  <c r="O131" i="2" s="1"/>
  <c r="C76" i="2"/>
  <c r="O76" i="2" s="1"/>
  <c r="P77" i="2"/>
  <c r="AV77" i="2" s="1"/>
  <c r="C35" i="2"/>
  <c r="O35" i="2" s="1"/>
  <c r="O442" i="3" l="1"/>
  <c r="O135" i="2"/>
  <c r="O75" i="3"/>
  <c r="AU75" i="3" s="1"/>
  <c r="O302" i="3"/>
  <c r="AU302" i="3" s="1"/>
  <c r="O11" i="2"/>
  <c r="O22" i="2"/>
  <c r="O124" i="2"/>
  <c r="O221" i="3"/>
  <c r="AU221" i="3" s="1"/>
  <c r="O332" i="3"/>
  <c r="AU332" i="3" s="1"/>
  <c r="AI337" i="3"/>
  <c r="O337" i="3"/>
  <c r="AU337" i="3" s="1"/>
  <c r="AI315" i="3"/>
  <c r="O315" i="3"/>
  <c r="AU315" i="3" s="1"/>
  <c r="O416" i="3"/>
  <c r="AU416" i="3" s="1"/>
  <c r="O237" i="3"/>
  <c r="AU237" i="3" s="1"/>
  <c r="O429" i="3"/>
  <c r="AU429" i="3" s="1"/>
  <c r="O344" i="3"/>
  <c r="AU344" i="3" s="1"/>
  <c r="O150" i="3"/>
  <c r="AU150" i="3" s="1"/>
  <c r="O107" i="3"/>
  <c r="AU107" i="3" s="1"/>
  <c r="C114" i="3"/>
  <c r="AI114" i="3" s="1"/>
  <c r="O115" i="3"/>
  <c r="AU115" i="3" s="1"/>
  <c r="C314" i="3"/>
  <c r="AU442" i="3"/>
  <c r="O7" i="3"/>
  <c r="AU7" i="3" s="1"/>
  <c r="AU43" i="3"/>
  <c r="AI115" i="3"/>
  <c r="C343" i="3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O75" i="2" s="1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I7" i="3"/>
  <c r="AI429" i="3"/>
  <c r="N441" i="3"/>
  <c r="AT441" i="3" s="1"/>
  <c r="AT442" i="3"/>
  <c r="AL332" i="3"/>
  <c r="F326" i="3"/>
  <c r="AO332" i="3"/>
  <c r="I326" i="3"/>
  <c r="AO326" i="3" s="1"/>
  <c r="AR332" i="3"/>
  <c r="L326" i="3"/>
  <c r="J441" i="3"/>
  <c r="AP441" i="3" s="1"/>
  <c r="AP442" i="3"/>
  <c r="AK332" i="3"/>
  <c r="E326" i="3"/>
  <c r="J314" i="3"/>
  <c r="AP315" i="3"/>
  <c r="F73" i="3"/>
  <c r="AL73" i="3" s="1"/>
  <c r="AL74" i="3"/>
  <c r="K220" i="3"/>
  <c r="AQ221" i="3"/>
  <c r="AN332" i="3"/>
  <c r="H326" i="3"/>
  <c r="G441" i="3"/>
  <c r="AM441" i="3" s="1"/>
  <c r="AM442" i="3"/>
  <c r="L220" i="3"/>
  <c r="AR221" i="3"/>
  <c r="AI237" i="3"/>
  <c r="C441" i="3"/>
  <c r="AI442" i="3"/>
  <c r="P221" i="3"/>
  <c r="AV221" i="3" s="1"/>
  <c r="AV224" i="3"/>
  <c r="J220" i="3"/>
  <c r="AP221" i="3"/>
  <c r="C279" i="3"/>
  <c r="AU280" i="3"/>
  <c r="AI280" i="3"/>
  <c r="D326" i="3"/>
  <c r="K441" i="3"/>
  <c r="AQ441" i="3" s="1"/>
  <c r="AQ442" i="3"/>
  <c r="F441" i="3"/>
  <c r="AL441" i="3" s="1"/>
  <c r="AL442" i="3"/>
  <c r="G74" i="3"/>
  <c r="AI332" i="3"/>
  <c r="C326" i="3"/>
  <c r="D220" i="3"/>
  <c r="AJ221" i="3"/>
  <c r="M441" i="3"/>
  <c r="AS441" i="3" s="1"/>
  <c r="AS442" i="3"/>
  <c r="H441" i="3"/>
  <c r="AN441" i="3" s="1"/>
  <c r="AN442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AI416" i="3"/>
  <c r="P43" i="3"/>
  <c r="AV43" i="3" s="1"/>
  <c r="AI43" i="3"/>
  <c r="F220" i="3"/>
  <c r="AL221" i="3"/>
  <c r="C220" i="3"/>
  <c r="AI221" i="3"/>
  <c r="AM332" i="3"/>
  <c r="G326" i="3"/>
  <c r="AM326" i="3" s="1"/>
  <c r="AP332" i="3"/>
  <c r="J326" i="3"/>
  <c r="AP326" i="3" s="1"/>
  <c r="L441" i="3"/>
  <c r="AR441" i="3" s="1"/>
  <c r="AR442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1" i="3"/>
  <c r="AK441" i="3" s="1"/>
  <c r="AK442" i="3"/>
  <c r="AI344" i="3"/>
  <c r="AT332" i="3"/>
  <c r="N326" i="3"/>
  <c r="AU289" i="3"/>
  <c r="AI289" i="3"/>
  <c r="L343" i="3"/>
  <c r="AI302" i="3"/>
  <c r="N220" i="3"/>
  <c r="AT221" i="3"/>
  <c r="AS332" i="3"/>
  <c r="M326" i="3"/>
  <c r="AS326" i="3" s="1"/>
  <c r="I441" i="3"/>
  <c r="AO441" i="3" s="1"/>
  <c r="AO442" i="3"/>
  <c r="P284" i="3"/>
  <c r="AV284" i="3" s="1"/>
  <c r="M343" i="3"/>
  <c r="AS344" i="3"/>
  <c r="G220" i="3"/>
  <c r="AM221" i="3"/>
  <c r="E220" i="3"/>
  <c r="AK221" i="3"/>
  <c r="H220" i="3"/>
  <c r="AN221" i="3"/>
  <c r="D441" i="3"/>
  <c r="AJ441" i="3" s="1"/>
  <c r="AJ4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O34" i="2" s="1"/>
  <c r="P135" i="2"/>
  <c r="AV135" i="2" s="1"/>
  <c r="C134" i="2"/>
  <c r="C90" i="2"/>
  <c r="O90" i="2" s="1"/>
  <c r="P131" i="2"/>
  <c r="AV131" i="2" s="1"/>
  <c r="C130" i="2"/>
  <c r="O130" i="2" s="1"/>
  <c r="P22" i="2"/>
  <c r="P76" i="2"/>
  <c r="O10" i="2" l="1"/>
  <c r="O134" i="2"/>
  <c r="O17" i="2"/>
  <c r="O74" i="3"/>
  <c r="AU74" i="3" s="1"/>
  <c r="O326" i="3"/>
  <c r="AU326" i="3" s="1"/>
  <c r="O441" i="3"/>
  <c r="AU441" i="3" s="1"/>
  <c r="O220" i="3"/>
  <c r="AU220" i="3" s="1"/>
  <c r="O279" i="3"/>
  <c r="AU279" i="3" s="1"/>
  <c r="AI343" i="3"/>
  <c r="O343" i="3"/>
  <c r="AU343" i="3" s="1"/>
  <c r="AI314" i="3"/>
  <c r="O314" i="3"/>
  <c r="AU314" i="3" s="1"/>
  <c r="O114" i="3"/>
  <c r="AU114" i="3" s="1"/>
  <c r="C342" i="3"/>
  <c r="I73" i="3"/>
  <c r="AO73" i="3" s="1"/>
  <c r="O6" i="3"/>
  <c r="AU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I279" i="3"/>
  <c r="AP220" i="3"/>
  <c r="J204" i="3"/>
  <c r="AI6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I326" i="3"/>
  <c r="C301" i="3"/>
  <c r="AJ326" i="3"/>
  <c r="D301" i="3"/>
  <c r="AI441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O89" i="2" s="1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O129" i="2" s="1"/>
  <c r="P130" i="2"/>
  <c r="AV130" i="2" s="1"/>
  <c r="O9" i="2" l="1"/>
  <c r="O342" i="3"/>
  <c r="AU342" i="3" s="1"/>
  <c r="O301" i="3"/>
  <c r="AU301" i="3" s="1"/>
  <c r="O204" i="3"/>
  <c r="AU204" i="3" s="1"/>
  <c r="O73" i="3"/>
  <c r="AU73" i="3" s="1"/>
  <c r="AI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I301" i="3"/>
  <c r="AK301" i="3"/>
  <c r="E300" i="3"/>
  <c r="AK300" i="3" s="1"/>
  <c r="AQ204" i="3"/>
  <c r="K11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C87" i="2" l="1"/>
  <c r="O87" i="2" s="1"/>
  <c r="O88" i="2"/>
  <c r="O8" i="2"/>
  <c r="C72" i="3"/>
  <c r="O113" i="3"/>
  <c r="AU113" i="3" s="1"/>
  <c r="C5" i="3"/>
  <c r="O300" i="3"/>
  <c r="AU300" i="3" s="1"/>
  <c r="AI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88" i="2"/>
  <c r="D72" i="3"/>
  <c r="AJ113" i="3"/>
  <c r="N72" i="3"/>
  <c r="AT113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F72" i="3"/>
  <c r="AL113" i="3"/>
  <c r="I72" i="3"/>
  <c r="AO113" i="3"/>
  <c r="G72" i="3"/>
  <c r="AM113" i="3"/>
  <c r="AI72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O7" i="2" l="1"/>
  <c r="AJ87" i="2"/>
  <c r="O72" i="3"/>
  <c r="AU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C5" i="2" l="1"/>
  <c r="AJ5" i="2" s="1"/>
  <c r="O6" i="2"/>
  <c r="O5" i="3"/>
  <c r="AU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O5" i="2" l="1"/>
</calcChain>
</file>

<file path=xl/sharedStrings.xml><?xml version="1.0" encoding="utf-8"?>
<sst xmlns="http://schemas.openxmlformats.org/spreadsheetml/2006/main" count="5270" uniqueCount="1352">
  <si>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</si>
  <si>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</si>
  <si>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</si>
  <si>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</si>
  <si>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</si>
  <si>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</si>
  <si>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</si>
  <si>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</si>
  <si>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</si>
  <si>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</si>
  <si>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</si>
  <si>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</si>
  <si>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</si>
  <si>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</si>
  <si>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</si>
  <si>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</si>
  <si>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</si>
  <si>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</si>
  <si>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</si>
  <si>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</si>
  <si>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</si>
  <si>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</si>
  <si>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</si>
  <si>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</si>
  <si>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</si>
  <si>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</si>
  <si>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</si>
  <si>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</si>
  <si>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</si>
  <si>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</si>
  <si>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</si>
  <si>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</si>
  <si>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</si>
  <si>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</si>
  <si>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</si>
  <si>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</si>
  <si>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</si>
  <si>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</si>
  <si>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</si>
  <si>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</si>
  <si>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</si>
  <si>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</si>
  <si>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</si>
  <si>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</si>
  <si>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</si>
  <si>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</si>
  <si>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</si>
  <si>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</si>
  <si>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</si>
  <si>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</si>
  <si>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</si>
  <si>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</si>
  <si>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</si>
  <si>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</si>
  <si>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</si>
  <si>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</si>
  <si>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</si>
  <si>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</si>
  <si>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</si>
  <si>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</si>
  <si>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</si>
  <si>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</si>
  <si>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</si>
  <si>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</si>
  <si>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</si>
  <si>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</si>
  <si>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</si>
  <si>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</si>
  <si>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</si>
  <si>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</si>
  <si>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</si>
  <si>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</si>
  <si>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</si>
  <si>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</si>
  <si>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</si>
  <si>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</si>
  <si>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</si>
  <si>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</si>
  <si>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</si>
  <si>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</si>
  <si>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</si>
  <si>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</si>
  <si>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</si>
  <si>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</si>
  <si>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</si>
  <si>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</si>
  <si>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</si>
  <si>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</si>
  <si>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</si>
  <si>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</si>
  <si>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</si>
  <si>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</si>
  <si>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</si>
  <si>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</si>
  <si>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</si>
  <si>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</si>
  <si>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</si>
  <si>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</si>
  <si>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</si>
  <si>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</si>
  <si>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</si>
  <si>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</si>
  <si>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</si>
  <si>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</si>
  <si>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</si>
  <si>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</si>
  <si>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</si>
  <si>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</si>
  <si>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</si>
  <si>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</si>
  <si>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</si>
  <si>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</si>
  <si>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</si>
  <si>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</si>
  <si>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</si>
  <si>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</si>
  <si>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</si>
  <si>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</si>
  <si>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</si>
  <si>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</si>
  <si>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</si>
  <si>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</si>
  <si>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</si>
  <si>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</si>
  <si>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</si>
  <si>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</si>
  <si>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</si>
  <si>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</si>
  <si>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</si>
  <si>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</si>
  <si>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</si>
  <si>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</si>
  <si>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</si>
  <si>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</si>
  <si>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</si>
  <si>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</si>
  <si>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</si>
  <si>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</si>
  <si>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</si>
  <si>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</si>
  <si>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</si>
  <si>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</si>
  <si>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</si>
  <si>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</si>
  <si>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</si>
  <si>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</si>
  <si>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</si>
  <si>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</si>
  <si>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</si>
  <si>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</si>
  <si>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</si>
  <si>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</si>
  <si>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</si>
  <si>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</si>
  <si>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</si>
  <si>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</si>
  <si>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</si>
  <si>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</si>
  <si>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</si>
  <si>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</si>
  <si>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</si>
  <si>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</si>
  <si>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</si>
  <si>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</si>
  <si>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</si>
  <si>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</si>
  <si>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</si>
  <si>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</si>
  <si>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</si>
  <si>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</si>
  <si>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</si>
  <si>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</si>
  <si>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</si>
  <si>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</si>
  <si>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</si>
  <si>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</si>
  <si>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</si>
  <si>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</si>
  <si>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</si>
  <si>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</si>
  <si>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</si>
  <si>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</si>
  <si>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</si>
  <si>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</si>
  <si>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</si>
  <si>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</si>
  <si>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</si>
  <si>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</si>
  <si>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</si>
  <si>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</si>
  <si>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</si>
  <si>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</si>
  <si>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</si>
  <si>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</si>
  <si>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</si>
  <si>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</si>
  <si>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</si>
  <si>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</si>
  <si>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</si>
  <si>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</si>
  <si>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</si>
  <si>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</si>
  <si>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</si>
  <si>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</si>
  <si>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</si>
  <si>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</si>
  <si>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</si>
  <si>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</si>
  <si>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</si>
  <si>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</si>
  <si>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</si>
  <si>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</si>
  <si>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</si>
  <si>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</si>
  <si>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</si>
  <si>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</si>
  <si>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</si>
  <si>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</si>
  <si>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</si>
  <si>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</si>
  <si>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</si>
  <si>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</si>
  <si>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</si>
  <si>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</si>
  <si>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</si>
  <si>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</si>
  <si>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</si>
  <si>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</si>
  <si>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</si>
  <si>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</si>
  <si>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</si>
  <si>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</si>
  <si>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</si>
  <si>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</si>
  <si>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</si>
  <si>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</si>
  <si>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</si>
  <si>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</si>
  <si>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</si>
  <si>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</si>
  <si>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</si>
  <si>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</si>
  <si>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</si>
  <si>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</si>
  <si>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</si>
  <si>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</si>
  <si>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</si>
  <si>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</si>
  <si>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</si>
  <si>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</si>
  <si>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</si>
  <si>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</si>
  <si>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</si>
  <si>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</si>
  <si>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</si>
  <si>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</si>
  <si>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</si>
  <si>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</si>
  <si>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</si>
  <si>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</si>
  <si>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</si>
  <si>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</si>
  <si>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</si>
  <si>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</si>
  <si>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</si>
  <si>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</si>
  <si>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</si>
  <si>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</si>
  <si>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</si>
  <si>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</si>
  <si>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</si>
  <si>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</si>
  <si>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</si>
  <si>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</si>
  <si>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</si>
  <si>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</si>
  <si>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</si>
  <si>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</si>
  <si>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</si>
  <si>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</si>
  <si>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</si>
  <si>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</si>
  <si>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</si>
  <si>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</si>
  <si>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</si>
  <si>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</si>
  <si>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</si>
  <si>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</si>
  <si>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</si>
  <si>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</si>
  <si>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</si>
  <si>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</si>
  <si>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</si>
  <si>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</si>
  <si>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</si>
  <si>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</si>
  <si>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</si>
  <si>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</si>
  <si>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</si>
  <si>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</si>
  <si>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</si>
  <si>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</si>
  <si>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</si>
  <si>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</si>
  <si>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</si>
  <si>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</si>
  <si>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</si>
  <si>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</si>
  <si>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</si>
  <si>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</si>
  <si>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</si>
  <si>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</si>
  <si>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</si>
  <si>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</si>
  <si>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</si>
  <si>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</si>
  <si>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</si>
  <si>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</si>
  <si>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</si>
  <si>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</si>
  <si>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</si>
  <si>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</si>
  <si>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</si>
  <si>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</si>
  <si>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</si>
  <si>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</si>
  <si>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</si>
  <si>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</si>
  <si>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</si>
  <si>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</si>
  <si>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</si>
  <si>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</si>
  <si>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</si>
  <si>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</si>
  <si>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</si>
  <si>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</si>
  <si>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</si>
  <si>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</si>
  <si>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</si>
  <si>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</si>
  <si>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</si>
  <si>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</si>
  <si>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</si>
  <si>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</si>
  <si>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</si>
  <si>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</si>
  <si>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</si>
  <si>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</si>
  <si>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</si>
  <si>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</si>
  <si>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</si>
  <si>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</si>
  <si>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</si>
  <si>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</si>
  <si>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</si>
  <si>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</si>
  <si>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</si>
  <si>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</si>
  <si>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</si>
  <si>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</si>
  <si>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</si>
  <si>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</si>
  <si>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</si>
  <si>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</si>
  <si>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</si>
  <si>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</si>
  <si>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</si>
  <si>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</si>
  <si>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</si>
  <si>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</si>
  <si>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</si>
  <si>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</si>
  <si>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</si>
  <si>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</si>
  <si>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</si>
  <si>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</si>
  <si>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</si>
  <si>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</si>
  <si>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</si>
  <si>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</si>
  <si>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</si>
  <si>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</si>
  <si>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</si>
  <si>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</si>
  <si>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</si>
  <si>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</si>
  <si>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</si>
  <si>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</si>
  <si>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</si>
  <si>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</si>
  <si>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</si>
  <si>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</si>
  <si>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</si>
  <si>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</si>
  <si>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</si>
  <si>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</si>
  <si>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</si>
  <si>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</si>
  <si>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</si>
  <si>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</si>
  <si>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</si>
  <si>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</si>
  <si>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</si>
  <si>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</si>
  <si>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</si>
  <si>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</si>
  <si>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</si>
  <si>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</si>
  <si>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</si>
  <si>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</si>
  <si>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</si>
  <si>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</si>
  <si>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</si>
  <si>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</si>
  <si>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</si>
  <si>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</si>
  <si>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</si>
  <si>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</si>
  <si>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</si>
  <si>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</si>
  <si>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</si>
  <si>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</si>
  <si>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</si>
  <si>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</si>
  <si>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</si>
  <si>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</si>
  <si>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</si>
  <si>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</si>
  <si>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</si>
  <si>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</si>
  <si>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</si>
  <si>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</si>
  <si>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</si>
  <si>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</si>
  <si>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</si>
  <si>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</si>
  <si>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</si>
  <si>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</si>
  <si>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</si>
  <si>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</si>
  <si>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</si>
  <si>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</si>
  <si>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</si>
  <si>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</si>
  <si>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</si>
  <si>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</si>
  <si>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</si>
  <si>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</si>
  <si>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</si>
  <si>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</si>
  <si>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</si>
  <si>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</si>
  <si>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</si>
  <si>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</si>
  <si>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</si>
  <si>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</si>
  <si>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</si>
  <si>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</si>
  <si>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</si>
  <si>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</si>
  <si>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</si>
  <si>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</si>
  <si>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</si>
  <si>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</si>
  <si>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</si>
  <si>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</si>
  <si>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</si>
  <si>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</si>
  <si>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</si>
  <si>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</si>
  <si>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</si>
  <si>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</si>
  <si>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</si>
  <si>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</si>
  <si>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</si>
  <si>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</si>
  <si>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</si>
  <si>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</si>
  <si>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</si>
  <si>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</si>
  <si>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</si>
  <si>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</si>
  <si>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</si>
  <si>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</si>
  <si>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</si>
  <si>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</si>
  <si>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</si>
  <si>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</si>
  <si>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</si>
  <si>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</si>
  <si>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</si>
  <si>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</si>
  <si>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</si>
  <si>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</si>
  <si>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</si>
  <si>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</si>
  <si>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</si>
  <si>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</si>
  <si>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</si>
  <si>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</si>
  <si>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</si>
  <si>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</si>
  <si>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</si>
  <si>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</si>
  <si>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</si>
  <si>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</si>
  <si>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</si>
  <si>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</si>
  <si>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</si>
  <si>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</si>
  <si>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</si>
  <si>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</si>
  <si>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</si>
  <si>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</si>
  <si>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</si>
  <si>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</si>
  <si>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</si>
  <si>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</si>
  <si>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</si>
  <si>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</si>
  <si>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</si>
  <si>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</si>
  <si>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</si>
  <si>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</si>
  <si>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</si>
  <si>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</si>
  <si>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</si>
  <si>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</si>
  <si>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</si>
  <si>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</si>
  <si>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</si>
  <si>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</si>
  <si>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</si>
  <si>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</si>
  <si>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</si>
  <si>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</si>
  <si>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</si>
  <si>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</si>
  <si>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</si>
  <si>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</si>
  <si>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</si>
  <si>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</si>
  <si>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</si>
  <si>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</si>
  <si>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</si>
  <si>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</si>
  <si>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</si>
  <si>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</si>
  <si>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</si>
  <si>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</si>
  <si>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</si>
  <si>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</si>
  <si>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</si>
  <si>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</si>
  <si>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</si>
  <si>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</si>
  <si>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</si>
  <si>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</si>
  <si>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</si>
  <si>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</si>
  <si>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</si>
  <si>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</si>
  <si>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</si>
  <si>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</si>
  <si>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</si>
  <si>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</si>
  <si>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</si>
  <si>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</si>
  <si>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</si>
  <si>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</si>
  <si>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</si>
  <si>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</si>
  <si>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</si>
  <si>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</si>
  <si>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</si>
  <si>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</si>
  <si>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</si>
  <si>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</si>
  <si>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</si>
  <si>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</si>
  <si>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</si>
  <si>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</si>
  <si>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</si>
  <si>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</si>
  <si>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</si>
  <si>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</si>
  <si>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</si>
  <si>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</si>
  <si>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</si>
  <si>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</si>
  <si>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</si>
  <si>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</si>
  <si>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</si>
  <si>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</si>
  <si>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</si>
  <si>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</si>
  <si>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</si>
  <si>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</si>
  <si>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</si>
  <si>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</si>
  <si>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</si>
  <si>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</si>
  <si>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</si>
  <si>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</si>
  <si>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</si>
  <si>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</si>
  <si>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</si>
  <si>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</si>
  <si>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</si>
  <si>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</si>
  <si>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</si>
  <si>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</si>
  <si>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</si>
  <si>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</si>
  <si>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</si>
  <si>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</si>
  <si>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</si>
  <si>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</si>
  <si>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</si>
  <si>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</si>
  <si>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</si>
  <si>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</si>
  <si>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</si>
  <si>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</si>
  <si>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</si>
  <si>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</si>
  <si>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</si>
  <si>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</si>
  <si>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</si>
  <si>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</si>
  <si>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</si>
  <si>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</si>
  <si>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</si>
  <si>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</si>
  <si>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</si>
  <si>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</si>
  <si>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</si>
  <si>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</si>
  <si>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</si>
  <si>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</si>
  <si>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</si>
  <si>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</si>
  <si>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</si>
  <si>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</si>
  <si>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</si>
  <si>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</si>
  <si>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</si>
  <si>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</si>
  <si>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</si>
  <si>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</si>
  <si>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</si>
  <si>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</si>
  <si>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</si>
  <si>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</si>
  <si>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</si>
  <si>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</si>
  <si>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</si>
  <si>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</si>
  <si>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</si>
  <si>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</si>
  <si>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</si>
  <si>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</si>
  <si>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</si>
  <si>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</si>
  <si>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</si>
  <si>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</si>
  <si>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</si>
  <si>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</si>
  <si>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</si>
  <si>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</si>
  <si>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</si>
  <si>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</si>
  <si>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</si>
  <si>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</si>
  <si>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</si>
  <si>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</si>
  <si>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</si>
  <si>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</si>
  <si>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</si>
  <si>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</si>
  <si>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</si>
  <si>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</si>
  <si>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</si>
  <si>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</si>
  <si>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</si>
  <si>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</si>
  <si>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</si>
  <si>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</si>
  <si>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</si>
  <si>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</si>
  <si>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</si>
  <si>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</si>
  <si>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</si>
  <si>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</si>
  <si>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</si>
  <si>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</si>
  <si>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</si>
  <si>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</si>
  <si>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</si>
  <si>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</si>
  <si>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</si>
  <si>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</si>
  <si>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</si>
  <si>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</si>
  <si>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</si>
  <si>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</si>
  <si>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</si>
  <si>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</si>
  <si>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</si>
  <si>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</si>
  <si>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</si>
  <si>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</si>
  <si>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</si>
  <si>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</si>
  <si>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</si>
  <si>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</si>
  <si>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</si>
  <si>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</si>
  <si>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</si>
  <si>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</si>
  <si>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</si>
  <si>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</si>
  <si>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</si>
  <si>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</si>
  <si>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</si>
  <si>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</si>
  <si>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</si>
  <si>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</si>
  <si>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</si>
  <si>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</si>
  <si>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</si>
  <si>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</si>
  <si>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</si>
  <si>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</si>
  <si>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</si>
  <si>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</si>
  <si>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</si>
  <si>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</si>
  <si>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</si>
  <si>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</si>
  <si>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</si>
  <si>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</si>
  <si>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</si>
  <si>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</si>
  <si>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</si>
  <si>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</si>
  <si>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</si>
  <si>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</si>
  <si>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</si>
  <si>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</si>
  <si>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</si>
  <si>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</si>
  <si>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</si>
  <si>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</si>
  <si>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</si>
  <si>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</si>
  <si>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</si>
  <si>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</si>
  <si>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</si>
  <si>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</si>
  <si>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</si>
  <si>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</si>
  <si>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</si>
  <si>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</si>
  <si>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</si>
  <si>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</si>
  <si>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</si>
  <si>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</si>
  <si>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</si>
  <si>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</si>
  <si>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</si>
  <si>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</si>
  <si>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</si>
  <si>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</si>
  <si>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</si>
  <si>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</si>
  <si>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</si>
  <si>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</si>
  <si>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</si>
  <si>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</si>
  <si>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</si>
  <si>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</si>
  <si>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</si>
  <si>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</si>
  <si>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</si>
  <si>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</si>
  <si>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</si>
  <si>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</si>
  <si>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</si>
  <si>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</si>
  <si>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</si>
  <si>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</si>
  <si>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</si>
  <si>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</si>
  <si>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</si>
  <si>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</si>
  <si>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</si>
  <si>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</si>
  <si>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</si>
  <si>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</si>
  <si>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</si>
  <si>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</si>
  <si>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</si>
  <si>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</si>
  <si>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</si>
  <si>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</si>
  <si>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</si>
  <si>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</si>
  <si>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</si>
  <si>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</si>
  <si>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</si>
  <si>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</si>
  <si>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</si>
  <si>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</si>
  <si>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</si>
  <si>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</si>
  <si>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</si>
  <si>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</si>
  <si>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</si>
  <si>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</si>
  <si>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</si>
  <si>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</si>
  <si>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</si>
  <si>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</si>
  <si>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</si>
  <si>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</si>
  <si>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</si>
  <si>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</si>
  <si>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</si>
  <si>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</si>
  <si>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</si>
  <si>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</si>
  <si>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</si>
  <si>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</si>
  <si>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</si>
  <si>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</si>
  <si>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</si>
  <si>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</si>
  <si>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</si>
  <si>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</si>
  <si>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</si>
  <si>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</si>
  <si>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</si>
  <si>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</si>
  <si>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</si>
  <si>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</si>
  <si>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</si>
  <si>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</si>
  <si>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</si>
  <si>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</si>
  <si>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</si>
  <si>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</si>
  <si>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</si>
  <si>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</si>
  <si>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</si>
  <si>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</si>
  <si>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</si>
  <si>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</si>
  <si>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</si>
  <si>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</si>
  <si>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</si>
  <si>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</si>
  <si>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</si>
  <si>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</si>
  <si>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</si>
  <si>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</si>
  <si>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</si>
  <si>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</si>
  <si>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</si>
  <si>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</si>
  <si>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</si>
  <si>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</si>
  <si>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</si>
  <si>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</si>
  <si>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</si>
  <si>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</si>
  <si>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</si>
  <si>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</si>
  <si>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</si>
  <si>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</si>
  <si>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</si>
  <si>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</si>
  <si>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</si>
  <si>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</si>
  <si>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</si>
  <si>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</si>
  <si>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</si>
  <si>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</si>
  <si>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</si>
  <si>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</si>
  <si>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</si>
  <si>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</si>
  <si>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</si>
  <si>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</si>
  <si>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</si>
  <si>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</si>
  <si>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</si>
  <si>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</si>
  <si>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</si>
  <si>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</si>
  <si>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</si>
  <si>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</si>
  <si>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</si>
  <si>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</si>
  <si>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</si>
  <si>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</si>
  <si>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</si>
  <si>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</si>
  <si>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</si>
  <si>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</si>
  <si>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</si>
  <si>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</si>
  <si>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</si>
  <si>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</si>
  <si>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</si>
  <si>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</si>
  <si>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</si>
  <si>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</si>
  <si>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</si>
  <si>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</si>
  <si>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</si>
  <si>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</si>
  <si>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</si>
  <si>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</si>
  <si>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</si>
  <si>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</si>
  <si>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</si>
  <si>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</si>
  <si>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</si>
  <si>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</si>
  <si>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</si>
  <si>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</si>
  <si>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</si>
  <si>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</si>
  <si>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</si>
  <si>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</si>
  <si>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</si>
  <si>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</si>
  <si>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</si>
  <si>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</si>
  <si>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</si>
  <si>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</si>
  <si>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</si>
  <si>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</si>
  <si>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</si>
  <si>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</si>
  <si>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</si>
  <si>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</si>
  <si>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</si>
  <si>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</si>
  <si>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</si>
  <si>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</si>
  <si>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</si>
  <si>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</si>
  <si>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</si>
  <si>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</si>
  <si>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</si>
  <si>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</si>
  <si>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</si>
  <si>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</si>
  <si>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</si>
  <si>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</si>
  <si>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</si>
  <si>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</si>
  <si>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</si>
  <si>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</si>
  <si>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</si>
  <si>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</si>
  <si>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</si>
  <si>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</si>
  <si>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</si>
  <si>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</si>
  <si>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</si>
  <si>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</si>
  <si>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</si>
  <si>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</si>
  <si>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</si>
  <si>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</si>
  <si>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</si>
  <si>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</si>
  <si>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</si>
  <si>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</si>
  <si>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</si>
  <si>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</si>
  <si>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</si>
  <si>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</si>
  <si>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</si>
  <si>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</si>
  <si>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</si>
  <si>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</si>
  <si>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</si>
  <si>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</si>
  <si>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</si>
  <si>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</si>
  <si>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</si>
  <si>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</si>
  <si>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</si>
  <si>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</si>
  <si>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</si>
  <si>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</si>
  <si>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</si>
  <si>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</si>
  <si>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</si>
  <si>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</si>
  <si>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</si>
  <si>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</si>
  <si>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</si>
  <si>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</si>
  <si>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</si>
  <si>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</si>
  <si>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</si>
  <si>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</si>
  <si>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</si>
  <si>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</si>
  <si>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</si>
  <si>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</si>
  <si>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</si>
  <si>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</si>
  <si>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</si>
  <si>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</si>
  <si>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</si>
  <si>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</si>
  <si>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</si>
  <si>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</si>
  <si>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</si>
  <si>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</si>
  <si>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</si>
  <si>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</si>
  <si>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</si>
  <si>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</si>
  <si>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</si>
  <si>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</si>
  <si>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</si>
  <si>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</si>
  <si>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</si>
  <si>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</si>
  <si>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</si>
  <si>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</si>
  <si>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</si>
  <si>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</si>
  <si>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</si>
  <si>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</si>
  <si>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</si>
  <si>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</si>
  <si>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</si>
  <si>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</si>
  <si>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</si>
  <si>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</si>
  <si>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</si>
  <si>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</si>
  <si>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</si>
  <si>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</si>
  <si>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</si>
  <si>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</si>
  <si>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</si>
  <si>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</si>
  <si>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</si>
  <si>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</si>
  <si>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</si>
  <si>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</si>
  <si>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</si>
  <si>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</si>
  <si>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</si>
  <si>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</si>
  <si>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</si>
  <si>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</si>
  <si>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</si>
  <si>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</si>
  <si>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</si>
  <si>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</si>
  <si>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</si>
  <si>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</si>
  <si>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</si>
  <si>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</si>
  <si>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</si>
  <si>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</si>
  <si>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</si>
  <si>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</si>
  <si>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</si>
  <si>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</si>
  <si>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</si>
  <si>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</si>
  <si>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</si>
  <si>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</si>
  <si>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</si>
  <si>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</si>
  <si>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</si>
  <si>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</si>
  <si>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</si>
  <si>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</si>
  <si>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</si>
  <si>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</si>
  <si>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</si>
  <si>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</si>
  <si>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</si>
  <si>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</si>
  <si>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</si>
  <si>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</si>
  <si>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</si>
  <si>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</si>
  <si>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</si>
  <si>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</si>
  <si>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</si>
  <si>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</si>
  <si>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</si>
  <si>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</si>
  <si>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</si>
  <si>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</si>
  <si>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</si>
  <si>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</si>
  <si>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</si>
  <si>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</si>
  <si>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</si>
  <si>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</si>
  <si>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</si>
  <si>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</si>
  <si>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</si>
  <si>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</si>
  <si>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</si>
  <si>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</si>
  <si>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</si>
  <si>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</si>
  <si>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</si>
  <si>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</si>
  <si>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</si>
  <si>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</si>
  <si>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</si>
  <si>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</si>
  <si>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</si>
  <si>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</si>
  <si>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</si>
  <si>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</si>
  <si>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</si>
  <si>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</si>
  <si>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</si>
  <si>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</si>
  <si>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</si>
  <si>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</si>
  <si>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</si>
  <si>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</si>
  <si>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</si>
  <si>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</si>
  <si>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</si>
  <si>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</si>
  <si>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</si>
  <si>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</si>
  <si>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</si>
  <si>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</si>
  <si>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</si>
  <si>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</si>
  <si>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</si>
  <si>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</si>
  <si>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</si>
  <si>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</si>
  <si>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</si>
  <si>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</si>
  <si>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</si>
  <si>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</si>
  <si>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</si>
  <si>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</si>
  <si>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</si>
  <si>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</si>
  <si>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</si>
  <si>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</si>
  <si>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</si>
  <si>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</si>
  <si>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</si>
  <si>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</si>
  <si>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</si>
  <si>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</si>
  <si>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</si>
  <si>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</si>
  <si>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</si>
  <si>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</si>
  <si>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</si>
  <si>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</si>
  <si>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</si>
  <si>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</si>
  <si>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</si>
  <si>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</si>
  <si>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</si>
  <si>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</si>
  <si>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</si>
  <si>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</si>
  <si>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</si>
  <si>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</si>
  <si>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</si>
  <si>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</si>
  <si>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</si>
  <si>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</si>
  <si>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</si>
  <si>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</si>
  <si>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</si>
  <si>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</si>
  <si>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</si>
  <si>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</si>
  <si>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</si>
  <si>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</si>
  <si>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</si>
  <si>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</si>
  <si>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</si>
  <si>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</si>
  <si>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</si>
  <si>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</si>
  <si>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</si>
  <si>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</si>
  <si>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</si>
  <si>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</si>
  <si>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</si>
  <si>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</si>
  <si>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</si>
  <si>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</si>
  <si>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</si>
  <si>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</si>
  <si>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</si>
  <si>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</si>
  <si>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</si>
  <si>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</si>
  <si>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</si>
  <si>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</si>
  <si>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</si>
  <si>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</si>
  <si>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</si>
  <si>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</si>
  <si>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</si>
  <si>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</si>
  <si>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</si>
  <si>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</si>
  <si>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</si>
  <si>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</si>
  <si>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</si>
  <si>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</si>
  <si>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</si>
  <si>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</si>
  <si>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</si>
  <si>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</si>
  <si>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</si>
  <si>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</si>
  <si>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</si>
  <si>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</si>
  <si>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</si>
  <si>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</si>
  <si>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</si>
  <si>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</si>
  <si>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</si>
  <si>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</si>
  <si>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</si>
  <si>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</si>
  <si>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</si>
  <si>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</si>
  <si>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</si>
  <si>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</si>
  <si>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</si>
  <si>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</si>
  <si>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</si>
  <si>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</si>
  <si>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</si>
  <si>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</si>
  <si>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</si>
  <si>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</si>
  <si>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</si>
  <si>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</si>
  <si>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</si>
  <si>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</si>
  <si>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</si>
  <si>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</si>
  <si>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</si>
  <si>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</si>
  <si>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</si>
  <si>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</si>
  <si>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</si>
  <si>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</si>
  <si>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</si>
  <si>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</si>
  <si>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</si>
  <si>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</si>
  <si>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</si>
  <si>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</si>
  <si>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</si>
  <si>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</si>
  <si>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</si>
  <si>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</si>
  <si>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</si>
  <si>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</si>
  <si>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</si>
  <si>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</si>
  <si>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</si>
  <si>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</si>
  <si>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</si>
  <si>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</si>
  <si>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</si>
  <si>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</si>
  <si>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</si>
  <si>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</si>
  <si>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</si>
  <si>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</si>
  <si>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</si>
  <si>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</si>
  <si>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</si>
  <si>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</si>
  <si>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</si>
  <si>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</si>
  <si>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</si>
  <si>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</si>
  <si>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</si>
  <si>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</si>
  <si>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</si>
  <si>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</si>
  <si>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</si>
  <si>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</si>
  <si>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</si>
  <si>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</si>
  <si>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</si>
  <si>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</si>
  <si>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</si>
  <si>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</si>
  <si>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</si>
  <si>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</si>
  <si>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</si>
  <si>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</si>
  <si>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</si>
  <si>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</si>
  <si>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</si>
  <si>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</si>
  <si>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</si>
  <si>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</si>
  <si>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</si>
  <si>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</si>
  <si>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</si>
  <si>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</si>
  <si>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</si>
  <si>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</si>
  <si>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</si>
  <si>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</si>
  <si>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TOTAL PAC EJECUTADO ENERO -ABRIL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</si>
  <si>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</si>
  <si>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</si>
  <si>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</si>
  <si>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</si>
  <si>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</si>
  <si>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</si>
  <si>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</si>
  <si>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</si>
  <si>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EJECUCIÓN PRESUPUESTAL DE INGRESOS DE MAYO DE 2022</t>
  </si>
  <si>
    <t>EJECUCIÓN PRESUPUESTAL DE GASTOS  MAYO  DE 2022</t>
  </si>
  <si>
    <t>CDPDEV</t>
  </si>
  <si>
    <t>CDP</t>
  </si>
  <si>
    <t>PROYECCIÓN A DIC-2022</t>
  </si>
  <si>
    <t>DIFERENCIA</t>
  </si>
  <si>
    <t xml:space="preserve">CONVENIO INTERADMINISTRATIVO ATN/RF 1 61 09 RG </t>
  </si>
  <si>
    <t>RESUMEN EJECUCIÓN PRESUPUESTAL  MAYO DE 2022</t>
  </si>
  <si>
    <t>RESUMEN EJECUCION PRESUPUESTAL DE INGRESOS A 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</si>
</sst>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_);_(@_)"/>
    <numFmt numFmtId="167" formatCode="_-&quot;$&quot;\ * #,##0_-;\-&quot;$&quot;\ * #,##0_-;_-&quot;$&quot;\ * &quot;-&quot;_-;_-@_-"/>
    <numFmt numFmtId="168" formatCode="#,##0_ ;[Red]\-#,##0\ "/>
    <numFmt numFmtId="169" formatCode="_-* #,##0.00_-;\-* #,##0.00_-;_-* &quot;-&quot;_-;_-@_-"/>
    <numFmt numFmtId="170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164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164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167" fontId="1" fillId="12" borderId="6" xfId="9" applyNumberFormat="1" applyFont="1" applyFill="1" applyBorder="1" applyAlignment="1">
      <alignment vertical="center"/>
    </xf>
    <xf numFmtId="168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9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9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164" fontId="0" fillId="0" borderId="1" xfId="12" applyFont="1" applyFill="1" applyBorder="1"/>
    <xf numFmtId="169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167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164" fontId="0" fillId="0" borderId="0" xfId="13" applyFont="1" applyFill="1" applyBorder="1"/>
    <xf numFmtId="169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9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70" fontId="0" fillId="0" borderId="1" xfId="1" applyNumberFormat="1" applyFont="1" applyFill="1" applyBorder="1"/>
    <xf numFmtId="170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70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164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164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164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164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70" fontId="1" fillId="0" borderId="1" xfId="1" applyNumberFormat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164" fontId="23" fillId="8" borderId="6" xfId="13" applyFont="1" applyFill="1" applyBorder="1" applyAlignment="1">
      <alignment horizontal="center"/>
    </xf>
    <xf numFmtId="164" fontId="23" fillId="10" borderId="6" xfId="13" applyFont="1" applyFill="1" applyBorder="1" applyAlignment="1">
      <alignment horizontal="center"/>
    </xf>
    <xf numFmtId="164" fontId="24" fillId="0" borderId="6" xfId="13" applyFont="1" applyFill="1" applyBorder="1" applyAlignment="1">
      <alignment horizontal="center"/>
    </xf>
    <xf numFmtId="164" fontId="24" fillId="11" borderId="6" xfId="13" applyFont="1" applyFill="1" applyBorder="1" applyAlignment="1">
      <alignment horizontal="center"/>
    </xf>
    <xf numFmtId="0" fontId="0" fillId="0" borderId="0" xfId="0"/>
    <xf numFmtId="0" fontId="0" fillId="14" borderId="0" xfId="0" applyFill="1"/>
    <xf numFmtId="0" fontId="0" fillId="0" borderId="1" xfId="0" applyFill="1" applyBorder="1"/>
    <xf numFmtId="43" fontId="0" fillId="14" borderId="0" xfId="1" applyFont="1" applyFill="1"/>
    <xf numFmtId="43" fontId="0" fillId="0" borderId="1" xfId="1" applyFont="1" applyFill="1" applyBorder="1"/>
    <xf numFmtId="43" fontId="0" fillId="19" borderId="1" xfId="1" applyFont="1" applyFill="1" applyBorder="1"/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</cellXfs>
  <cellStyles count="16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25" xfId="15"/>
    <cellStyle name="Millares 4" xfId="5"/>
    <cellStyle name="Millares 7" xfId="8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#,##0,00_);_(* \(#,##0,00\);_(* "-"??_);_(@_)</c:formatCode>
                <c:ptCount val="4"/>
                <c:pt idx="0">
                  <c:v>48976988241.175995</c:v>
                </c:pt>
                <c:pt idx="1">
                  <c:v>96462583539.820007</c:v>
                </c:pt>
                <c:pt idx="2">
                  <c:v>32095283336.709999</c:v>
                </c:pt>
                <c:pt idx="3">
                  <c:v>1336823529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0,00%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_-* #,##0_-;\-* #,##0_-;_-* "-"_-;_-@_-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4"/>
  <sheetViews>
    <sheetView showGridLines="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E28" sqref="E28"/>
    </sheetView>
  </sheetViews>
  <sheetFormatPr baseColWidth="10" defaultColWidth="14.7109375" defaultRowHeight="15" x14ac:dyDescent="0.25"/>
  <cols>
    <col min="1" max="1" width="18.140625" style="18" customWidth="1"/>
    <col min="2" max="2" width="64" style="18" customWidth="1"/>
    <col min="3" max="3" width="18.85546875" style="18" bestFit="1" customWidth="1"/>
    <col min="4" max="4" width="17.85546875" style="18" bestFit="1" customWidth="1"/>
    <col min="5" max="5" width="12.5703125" style="18" bestFit="1" customWidth="1"/>
    <col min="6" max="6" width="18.85546875" style="143" bestFit="1" customWidth="1"/>
    <col min="7" max="9" width="17.85546875" style="18" bestFit="1" customWidth="1"/>
    <col min="10" max="10" width="18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56.85546875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8" width="18.85546875" style="18" hidden="1" customWidth="1"/>
    <col min="19" max="21" width="17.85546875" style="18" hidden="1" customWidth="1"/>
    <col min="22" max="22" width="18.85546875" style="18" hidden="1" customWidth="1"/>
    <col min="23" max="23" width="8.5703125" style="18" hidden="1" customWidth="1"/>
    <col min="24" max="24" width="17.85546875" style="18" hidden="1" customWidth="1"/>
    <col min="25" max="25" width="16.85546875" style="18" bestFit="1" customWidth="1"/>
    <col min="26" max="16384" width="14.7109375" style="18"/>
  </cols>
  <sheetData>
    <row r="1" spans="1:25" x14ac:dyDescent="0.25">
      <c r="A1" s="264" t="s">
        <v>1176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25" s="181" customForma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55"/>
    </row>
    <row r="3" spans="1:25" s="181" customFormat="1" x14ac:dyDescent="0.25">
      <c r="A3" s="264" t="s">
        <v>1175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55"/>
    </row>
    <row r="4" spans="1:25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25" s="181" customFormat="1" x14ac:dyDescent="0.25">
      <c r="A5" s="265" t="s">
        <v>1343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55"/>
    </row>
    <row r="6" spans="1:25" ht="15.75" thickBot="1" x14ac:dyDescent="0.3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25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5" x14ac:dyDescent="0.25">
      <c r="A8" s="60"/>
      <c r="B8" s="61" t="s">
        <v>777</v>
      </c>
      <c r="C8" s="62">
        <f t="shared" ref="C8:J8" si="0">+C9+C91</f>
        <v>145638571780.996</v>
      </c>
      <c r="D8" s="62">
        <f t="shared" si="0"/>
        <v>33233106865.709999</v>
      </c>
      <c r="E8" s="62">
        <f t="shared" si="0"/>
        <v>0</v>
      </c>
      <c r="F8" s="62">
        <f t="shared" si="0"/>
        <v>178871678646.70599</v>
      </c>
      <c r="G8" s="62">
        <f t="shared" si="0"/>
        <v>93464678349.5</v>
      </c>
      <c r="H8" s="62">
        <f t="shared" si="0"/>
        <v>10868495144.030001</v>
      </c>
      <c r="I8" s="62">
        <f t="shared" si="0"/>
        <v>93649600270.220001</v>
      </c>
      <c r="J8" s="62">
        <f t="shared" si="0"/>
        <v>88130444816.206009</v>
      </c>
      <c r="K8" s="63">
        <f>+I8/F8</f>
        <v>0.52355745179307966</v>
      </c>
      <c r="L8" s="64"/>
      <c r="M8" s="60"/>
      <c r="N8" s="61" t="s">
        <v>777</v>
      </c>
      <c r="O8" s="62">
        <f>+O9+O91</f>
        <v>145638571780.996</v>
      </c>
      <c r="P8" s="62">
        <f t="shared" ref="P8:V8" si="1">+P9+P91</f>
        <v>33233106865.709999</v>
      </c>
      <c r="Q8" s="62">
        <f t="shared" si="1"/>
        <v>0</v>
      </c>
      <c r="R8" s="62">
        <f t="shared" si="1"/>
        <v>178659778646.70599</v>
      </c>
      <c r="S8" s="62">
        <f t="shared" si="1"/>
        <v>52059063159.470001</v>
      </c>
      <c r="T8" s="62">
        <f t="shared" si="1"/>
        <v>10868495144.030001</v>
      </c>
      <c r="U8" s="62">
        <f t="shared" si="1"/>
        <v>78571877692.5</v>
      </c>
      <c r="V8" s="62">
        <f t="shared" si="1"/>
        <v>102996267393.92599</v>
      </c>
      <c r="W8" s="63">
        <f>+U8/R8</f>
        <v>0.43978492690217297</v>
      </c>
      <c r="X8" s="230">
        <f>+I8-G8</f>
        <v>184921920.72000122</v>
      </c>
    </row>
    <row r="9" spans="1:25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2">+D10</f>
        <v>0</v>
      </c>
      <c r="E9" s="62">
        <f t="shared" si="2"/>
        <v>0</v>
      </c>
      <c r="F9" s="62">
        <f t="shared" si="2"/>
        <v>145222612178.996</v>
      </c>
      <c r="G9" s="62">
        <f t="shared" si="2"/>
        <v>60105324219.139999</v>
      </c>
      <c r="H9" s="62">
        <v>10829225458.860001</v>
      </c>
      <c r="I9" s="62">
        <v>60070424500.860001</v>
      </c>
      <c r="J9" s="62">
        <f t="shared" si="2"/>
        <v>88060554117.856003</v>
      </c>
      <c r="K9" s="63">
        <f t="shared" ref="K9:K77" si="3">+I9/F9</f>
        <v>0.41364374045840346</v>
      </c>
      <c r="L9" s="144"/>
      <c r="M9" s="60">
        <v>1</v>
      </c>
      <c r="N9" s="61" t="s">
        <v>778</v>
      </c>
      <c r="O9" s="62">
        <f>+O10</f>
        <v>145222612178.996</v>
      </c>
      <c r="P9" s="62">
        <f t="shared" ref="P9:V9" si="4">+P10</f>
        <v>0</v>
      </c>
      <c r="Q9" s="62">
        <f t="shared" si="4"/>
        <v>0</v>
      </c>
      <c r="R9" s="62">
        <f t="shared" si="4"/>
        <v>145222612178.996</v>
      </c>
      <c r="S9" s="62">
        <f t="shared" si="4"/>
        <v>33841773029</v>
      </c>
      <c r="T9" s="62">
        <f t="shared" si="4"/>
        <v>10829225458.860001</v>
      </c>
      <c r="U9" s="62">
        <f t="shared" si="4"/>
        <v>60070424500.860001</v>
      </c>
      <c r="V9" s="62">
        <f t="shared" si="4"/>
        <v>88060554117.856003</v>
      </c>
      <c r="W9" s="63">
        <f t="shared" ref="W9:W77" si="5">+U9/R9</f>
        <v>0.41364374045840346</v>
      </c>
      <c r="X9" s="230">
        <f t="shared" ref="X9:X72" si="6">+I9-G9</f>
        <v>-34899718.279998779</v>
      </c>
    </row>
    <row r="10" spans="1:25" s="1" customFormat="1" x14ac:dyDescent="0.25">
      <c r="A10" s="61" t="s">
        <v>935</v>
      </c>
      <c r="B10" s="61" t="s">
        <v>779</v>
      </c>
      <c r="C10" s="62">
        <f>+C11+C20+C37+C78</f>
        <v>145222612178.996</v>
      </c>
      <c r="D10" s="62">
        <f t="shared" ref="D10:J10" si="7">+D11+D20+D37+D78</f>
        <v>0</v>
      </c>
      <c r="E10" s="62">
        <f t="shared" si="7"/>
        <v>0</v>
      </c>
      <c r="F10" s="62">
        <f t="shared" si="7"/>
        <v>145222612178.996</v>
      </c>
      <c r="G10" s="62">
        <f t="shared" si="7"/>
        <v>60105324219.139999</v>
      </c>
      <c r="H10" s="62">
        <v>10829225458.860001</v>
      </c>
      <c r="I10" s="62">
        <v>60070424500.860001</v>
      </c>
      <c r="J10" s="62">
        <f t="shared" si="7"/>
        <v>88060554117.856003</v>
      </c>
      <c r="K10" s="63">
        <f t="shared" si="3"/>
        <v>0.41364374045840346</v>
      </c>
      <c r="L10" s="65"/>
      <c r="M10" s="61" t="s">
        <v>935</v>
      </c>
      <c r="N10" s="61" t="s">
        <v>779</v>
      </c>
      <c r="O10" s="62">
        <f>+O11+O20+O37+O78</f>
        <v>145222612178.996</v>
      </c>
      <c r="P10" s="62">
        <f t="shared" ref="P10:V10" si="8">+P11+P20+P37+P78</f>
        <v>0</v>
      </c>
      <c r="Q10" s="62">
        <f t="shared" si="8"/>
        <v>0</v>
      </c>
      <c r="R10" s="62">
        <f t="shared" si="8"/>
        <v>145222612178.996</v>
      </c>
      <c r="S10" s="62">
        <f t="shared" si="8"/>
        <v>33841773029</v>
      </c>
      <c r="T10" s="62">
        <f t="shared" si="8"/>
        <v>10829225458.860001</v>
      </c>
      <c r="U10" s="62">
        <f t="shared" si="8"/>
        <v>60070424500.860001</v>
      </c>
      <c r="V10" s="62">
        <f t="shared" si="8"/>
        <v>88060554117.856003</v>
      </c>
      <c r="W10" s="63">
        <f t="shared" si="5"/>
        <v>0.41364374045840346</v>
      </c>
      <c r="X10" s="230">
        <f t="shared" si="6"/>
        <v>-34899718.279998779</v>
      </c>
    </row>
    <row r="11" spans="1:25" x14ac:dyDescent="0.25">
      <c r="A11" s="66" t="s">
        <v>936</v>
      </c>
      <c r="B11" s="66" t="s">
        <v>526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0</v>
      </c>
      <c r="F11" s="67">
        <f t="shared" si="9"/>
        <v>3174321326</v>
      </c>
      <c r="G11" s="67">
        <f t="shared" si="9"/>
        <v>2122435761.28</v>
      </c>
      <c r="H11" s="67">
        <f t="shared" si="9"/>
        <v>34899718.280000001</v>
      </c>
      <c r="I11" s="67">
        <f t="shared" si="9"/>
        <v>2122435761.28</v>
      </c>
      <c r="J11" s="67">
        <f t="shared" si="9"/>
        <v>1051885564.72</v>
      </c>
      <c r="K11" s="68">
        <f t="shared" si="3"/>
        <v>0.66862662701967435</v>
      </c>
      <c r="M11" s="66" t="s">
        <v>936</v>
      </c>
      <c r="N11" s="66" t="s">
        <v>526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0</v>
      </c>
      <c r="R11" s="67">
        <f t="shared" si="10"/>
        <v>3174321326</v>
      </c>
      <c r="S11" s="67">
        <f t="shared" si="10"/>
        <v>2087536043</v>
      </c>
      <c r="T11" s="67">
        <f t="shared" si="10"/>
        <v>0</v>
      </c>
      <c r="U11" s="67">
        <f t="shared" si="10"/>
        <v>2087536043</v>
      </c>
      <c r="V11" s="67">
        <f t="shared" si="10"/>
        <v>1051885564.72</v>
      </c>
      <c r="W11" s="68">
        <f t="shared" si="5"/>
        <v>0.65763223965436701</v>
      </c>
      <c r="X11" s="230">
        <f t="shared" si="6"/>
        <v>0</v>
      </c>
    </row>
    <row r="12" spans="1:25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9"/>
        <v>0</v>
      </c>
      <c r="E12" s="67">
        <f t="shared" si="9"/>
        <v>0</v>
      </c>
      <c r="F12" s="67">
        <f t="shared" si="9"/>
        <v>3174321326</v>
      </c>
      <c r="G12" s="67">
        <f t="shared" si="9"/>
        <v>2122435761.28</v>
      </c>
      <c r="H12" s="67">
        <f t="shared" si="9"/>
        <v>34899718.280000001</v>
      </c>
      <c r="I12" s="67">
        <f t="shared" si="9"/>
        <v>2122435761.28</v>
      </c>
      <c r="J12" s="67">
        <f t="shared" si="9"/>
        <v>1051885564.72</v>
      </c>
      <c r="K12" s="68">
        <f t="shared" si="3"/>
        <v>0.66862662701967435</v>
      </c>
      <c r="M12" s="66" t="s">
        <v>937</v>
      </c>
      <c r="N12" s="66" t="s">
        <v>780</v>
      </c>
      <c r="O12" s="67">
        <f>+O13</f>
        <v>3174321326</v>
      </c>
      <c r="P12" s="67">
        <f t="shared" si="10"/>
        <v>0</v>
      </c>
      <c r="Q12" s="67">
        <f t="shared" si="10"/>
        <v>0</v>
      </c>
      <c r="R12" s="67">
        <f t="shared" si="10"/>
        <v>3174321326</v>
      </c>
      <c r="S12" s="67">
        <f t="shared" si="10"/>
        <v>2087536043</v>
      </c>
      <c r="T12" s="67">
        <f t="shared" si="10"/>
        <v>0</v>
      </c>
      <c r="U12" s="67">
        <f t="shared" si="10"/>
        <v>2087536043</v>
      </c>
      <c r="V12" s="67">
        <f t="shared" si="10"/>
        <v>1051885564.72</v>
      </c>
      <c r="W12" s="68">
        <f t="shared" si="5"/>
        <v>0.65763223965436701</v>
      </c>
      <c r="X12" s="230">
        <f t="shared" si="6"/>
        <v>0</v>
      </c>
    </row>
    <row r="13" spans="1:25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9"/>
        <v>0</v>
      </c>
      <c r="E13" s="67">
        <f t="shared" si="9"/>
        <v>0</v>
      </c>
      <c r="F13" s="67">
        <f t="shared" si="9"/>
        <v>3174321326</v>
      </c>
      <c r="G13" s="67">
        <f t="shared" si="9"/>
        <v>2122435761.28</v>
      </c>
      <c r="H13" s="67">
        <f t="shared" si="9"/>
        <v>34899718.280000001</v>
      </c>
      <c r="I13" s="67">
        <f t="shared" si="9"/>
        <v>2122435761.28</v>
      </c>
      <c r="J13" s="67">
        <f t="shared" si="9"/>
        <v>1051885564.72</v>
      </c>
      <c r="K13" s="68">
        <f t="shared" si="3"/>
        <v>0.66862662701967435</v>
      </c>
      <c r="M13" s="66" t="s">
        <v>938</v>
      </c>
      <c r="N13" s="66" t="s">
        <v>760</v>
      </c>
      <c r="O13" s="67">
        <f>+O14</f>
        <v>3174321326</v>
      </c>
      <c r="P13" s="67">
        <f t="shared" si="10"/>
        <v>0</v>
      </c>
      <c r="Q13" s="67">
        <f t="shared" si="10"/>
        <v>0</v>
      </c>
      <c r="R13" s="67">
        <f t="shared" si="10"/>
        <v>3174321326</v>
      </c>
      <c r="S13" s="67">
        <f t="shared" si="10"/>
        <v>2087536043</v>
      </c>
      <c r="T13" s="67">
        <f t="shared" si="10"/>
        <v>0</v>
      </c>
      <c r="U13" s="67">
        <f t="shared" si="10"/>
        <v>2087536043</v>
      </c>
      <c r="V13" s="67">
        <f t="shared" si="10"/>
        <v>1051885564.72</v>
      </c>
      <c r="W13" s="68">
        <f t="shared" si="5"/>
        <v>0.65763223965436701</v>
      </c>
      <c r="X13" s="230">
        <f t="shared" si="6"/>
        <v>0</v>
      </c>
    </row>
    <row r="14" spans="1:25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9"/>
        <v>0</v>
      </c>
      <c r="E14" s="67">
        <f t="shared" si="9"/>
        <v>0</v>
      </c>
      <c r="F14" s="67">
        <f t="shared" si="9"/>
        <v>3174321326</v>
      </c>
      <c r="G14" s="67">
        <f t="shared" si="9"/>
        <v>2122435761.28</v>
      </c>
      <c r="H14" s="67">
        <f t="shared" si="9"/>
        <v>34899718.280000001</v>
      </c>
      <c r="I14" s="67">
        <f t="shared" si="9"/>
        <v>2122435761.28</v>
      </c>
      <c r="J14" s="67">
        <f t="shared" si="9"/>
        <v>1051885564.72</v>
      </c>
      <c r="K14" s="68">
        <f t="shared" si="3"/>
        <v>0.66862662701967435</v>
      </c>
      <c r="M14" s="66" t="s">
        <v>939</v>
      </c>
      <c r="N14" s="66" t="s">
        <v>760</v>
      </c>
      <c r="O14" s="67">
        <f>+O15</f>
        <v>3174321326</v>
      </c>
      <c r="P14" s="67">
        <f t="shared" si="10"/>
        <v>0</v>
      </c>
      <c r="Q14" s="67">
        <f t="shared" si="10"/>
        <v>0</v>
      </c>
      <c r="R14" s="67">
        <f t="shared" si="10"/>
        <v>3174321326</v>
      </c>
      <c r="S14" s="67">
        <f t="shared" si="10"/>
        <v>2087536043</v>
      </c>
      <c r="T14" s="67">
        <f t="shared" si="10"/>
        <v>0</v>
      </c>
      <c r="U14" s="67">
        <f t="shared" si="10"/>
        <v>2087536043</v>
      </c>
      <c r="V14" s="67">
        <f t="shared" si="10"/>
        <v>1051885564.72</v>
      </c>
      <c r="W14" s="68">
        <f t="shared" si="5"/>
        <v>0.65763223965436701</v>
      </c>
      <c r="X14" s="230">
        <f t="shared" si="6"/>
        <v>0</v>
      </c>
    </row>
    <row r="15" spans="1:25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0</v>
      </c>
      <c r="F15" s="70">
        <f t="shared" si="11"/>
        <v>3174321326</v>
      </c>
      <c r="G15" s="70">
        <f t="shared" si="11"/>
        <v>2122435761.28</v>
      </c>
      <c r="H15" s="70">
        <f t="shared" si="11"/>
        <v>34899718.280000001</v>
      </c>
      <c r="I15" s="70">
        <f t="shared" si="11"/>
        <v>2122435761.28</v>
      </c>
      <c r="J15" s="70">
        <f t="shared" si="11"/>
        <v>1051885564.72</v>
      </c>
      <c r="K15" s="71">
        <f t="shared" si="3"/>
        <v>0.66862662701967435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0</v>
      </c>
      <c r="R15" s="70">
        <f t="shared" si="12"/>
        <v>3174321326</v>
      </c>
      <c r="S15" s="70">
        <f t="shared" si="12"/>
        <v>2087536043</v>
      </c>
      <c r="T15" s="70">
        <f t="shared" si="12"/>
        <v>0</v>
      </c>
      <c r="U15" s="70">
        <f t="shared" si="12"/>
        <v>2087536043</v>
      </c>
      <c r="V15" s="70">
        <f t="shared" si="12"/>
        <v>1051885564.72</v>
      </c>
      <c r="W15" s="71">
        <f t="shared" si="5"/>
        <v>0.65763223965436701</v>
      </c>
      <c r="X15" s="230">
        <f t="shared" si="6"/>
        <v>0</v>
      </c>
    </row>
    <row r="16" spans="1:25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/>
      <c r="F16" s="73">
        <f>+C16+D16-E16</f>
        <v>2659321326</v>
      </c>
      <c r="G16" s="73">
        <v>2085537957</v>
      </c>
      <c r="H16" s="73"/>
      <c r="I16" s="73">
        <v>2085537957</v>
      </c>
      <c r="J16" s="75">
        <f>+F16-I16</f>
        <v>573783369</v>
      </c>
      <c r="K16" s="76">
        <f t="shared" si="3"/>
        <v>0.78423691661847716</v>
      </c>
      <c r="L16" s="77"/>
      <c r="M16" s="72" t="s">
        <v>941</v>
      </c>
      <c r="N16" s="72" t="s">
        <v>942</v>
      </c>
      <c r="O16" s="73">
        <v>2659321326</v>
      </c>
      <c r="P16" s="74"/>
      <c r="Q16" s="73"/>
      <c r="R16" s="73">
        <f>+O16+P16-Q16</f>
        <v>2659321326</v>
      </c>
      <c r="S16" s="73">
        <v>2085537957</v>
      </c>
      <c r="T16" s="73"/>
      <c r="U16" s="73">
        <v>2085537957</v>
      </c>
      <c r="V16" s="75">
        <f>+R16-U16</f>
        <v>573783369</v>
      </c>
      <c r="W16" s="76">
        <f t="shared" si="5"/>
        <v>0.78423691661847716</v>
      </c>
      <c r="X16" s="230">
        <f t="shared" si="6"/>
        <v>0</v>
      </c>
      <c r="Y16" s="233"/>
    </row>
    <row r="17" spans="1:25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3">D18+D19</f>
        <v>0</v>
      </c>
      <c r="E17" s="80">
        <f t="shared" si="13"/>
        <v>0</v>
      </c>
      <c r="F17" s="80">
        <f t="shared" si="13"/>
        <v>515000000</v>
      </c>
      <c r="G17" s="80">
        <f t="shared" si="13"/>
        <v>36897804.280000001</v>
      </c>
      <c r="H17" s="80">
        <f t="shared" si="13"/>
        <v>34899718.280000001</v>
      </c>
      <c r="I17" s="80">
        <f t="shared" si="13"/>
        <v>36897804.280000001</v>
      </c>
      <c r="J17" s="80">
        <f t="shared" si="13"/>
        <v>478102195.72000003</v>
      </c>
      <c r="K17" s="76">
        <f t="shared" si="3"/>
        <v>7.164622190291263E-2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v>0</v>
      </c>
      <c r="Q17" s="80">
        <f t="shared" ref="Q17:V17" si="14">Q18+Q19</f>
        <v>0</v>
      </c>
      <c r="R17" s="80">
        <f t="shared" si="14"/>
        <v>515000000</v>
      </c>
      <c r="S17" s="80">
        <f t="shared" si="14"/>
        <v>1998086</v>
      </c>
      <c r="T17" s="80">
        <v>0</v>
      </c>
      <c r="U17" s="80">
        <v>1998086</v>
      </c>
      <c r="V17" s="80">
        <f t="shared" si="14"/>
        <v>478102195.72000003</v>
      </c>
      <c r="W17" s="76">
        <f t="shared" si="5"/>
        <v>3.879778640776699E-3</v>
      </c>
      <c r="X17" s="230">
        <f t="shared" si="6"/>
        <v>0</v>
      </c>
      <c r="Y17" s="22"/>
    </row>
    <row r="18" spans="1:25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>+C18+D18-E18</f>
        <v>370000000</v>
      </c>
      <c r="G18" s="74">
        <v>36897804.280000001</v>
      </c>
      <c r="H18" s="74">
        <v>34899718.280000001</v>
      </c>
      <c r="I18" s="74">
        <v>36897804.280000001</v>
      </c>
      <c r="J18" s="75">
        <f>+F18-I18</f>
        <v>333102195.72000003</v>
      </c>
      <c r="K18" s="76">
        <f t="shared" si="3"/>
        <v>9.9723795351351355E-2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>+O18+P18-Q18</f>
        <v>370000000</v>
      </c>
      <c r="S18" s="74">
        <v>1998086</v>
      </c>
      <c r="T18" s="74">
        <v>34899718.280000001</v>
      </c>
      <c r="U18" s="74">
        <f>1998086+T18</f>
        <v>36897804.280000001</v>
      </c>
      <c r="V18" s="75">
        <f>+R18-U18</f>
        <v>333102195.72000003</v>
      </c>
      <c r="W18" s="76">
        <f t="shared" si="5"/>
        <v>9.9723795351351355E-2</v>
      </c>
      <c r="X18" s="230">
        <f t="shared" si="6"/>
        <v>0</v>
      </c>
      <c r="Y18" s="233"/>
    </row>
    <row r="19" spans="1:25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/>
      <c r="J19" s="75">
        <f>+F19-I19</f>
        <v>145000000</v>
      </c>
      <c r="K19" s="76">
        <f t="shared" si="3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/>
      <c r="V19" s="75">
        <f>+R19-U19</f>
        <v>145000000</v>
      </c>
      <c r="W19" s="76">
        <f t="shared" si="5"/>
        <v>0</v>
      </c>
      <c r="X19" s="230">
        <f t="shared" si="6"/>
        <v>0</v>
      </c>
    </row>
    <row r="20" spans="1:25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5">+D21+D25</f>
        <v>0</v>
      </c>
      <c r="E20" s="67">
        <f t="shared" si="15"/>
        <v>0</v>
      </c>
      <c r="F20" s="67">
        <f t="shared" si="15"/>
        <v>44132120803.339996</v>
      </c>
      <c r="G20" s="67">
        <f t="shared" si="15"/>
        <v>10284269219</v>
      </c>
      <c r="H20" s="67">
        <f t="shared" si="15"/>
        <v>2336758171</v>
      </c>
      <c r="I20" s="67">
        <f t="shared" si="15"/>
        <v>10284269219</v>
      </c>
      <c r="J20" s="67">
        <f t="shared" si="15"/>
        <v>33847851584.34</v>
      </c>
      <c r="K20" s="68">
        <f t="shared" si="3"/>
        <v>0.23303365058816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6">+P21+P25</f>
        <v>0</v>
      </c>
      <c r="Q20" s="67">
        <f t="shared" si="16"/>
        <v>0</v>
      </c>
      <c r="R20" s="67">
        <f t="shared" si="16"/>
        <v>44132120803.339996</v>
      </c>
      <c r="S20" s="67">
        <f t="shared" si="16"/>
        <v>5325090925</v>
      </c>
      <c r="T20" s="67">
        <f t="shared" si="16"/>
        <v>2336758171</v>
      </c>
      <c r="U20" s="67">
        <f t="shared" si="16"/>
        <v>10284269219</v>
      </c>
      <c r="V20" s="67">
        <f t="shared" si="16"/>
        <v>33847851584.34</v>
      </c>
      <c r="W20" s="68">
        <f t="shared" si="5"/>
        <v>0.23303365058816</v>
      </c>
      <c r="X20" s="230">
        <f t="shared" si="6"/>
        <v>0</v>
      </c>
    </row>
    <row r="21" spans="1:25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17">+D22</f>
        <v>0</v>
      </c>
      <c r="E21" s="67">
        <f t="shared" si="17"/>
        <v>0</v>
      </c>
      <c r="F21" s="67">
        <f t="shared" si="17"/>
        <v>0</v>
      </c>
      <c r="G21" s="67">
        <f t="shared" si="17"/>
        <v>7490000</v>
      </c>
      <c r="H21" s="67">
        <f t="shared" si="17"/>
        <v>1842000</v>
      </c>
      <c r="I21" s="67">
        <f t="shared" si="17"/>
        <v>7490000</v>
      </c>
      <c r="J21" s="67">
        <f t="shared" si="17"/>
        <v>-7490000</v>
      </c>
      <c r="K21" s="68" t="e">
        <f t="shared" si="3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18">+P22</f>
        <v>0</v>
      </c>
      <c r="Q21" s="67">
        <f t="shared" si="18"/>
        <v>0</v>
      </c>
      <c r="R21" s="67">
        <f t="shared" si="18"/>
        <v>0</v>
      </c>
      <c r="S21" s="67">
        <f t="shared" si="18"/>
        <v>3888000</v>
      </c>
      <c r="T21" s="67">
        <f t="shared" si="18"/>
        <v>1842000</v>
      </c>
      <c r="U21" s="67">
        <f t="shared" si="18"/>
        <v>7490000</v>
      </c>
      <c r="V21" s="67">
        <f t="shared" si="18"/>
        <v>-7490000</v>
      </c>
      <c r="W21" s="68" t="e">
        <f t="shared" si="5"/>
        <v>#DIV/0!</v>
      </c>
      <c r="X21" s="230">
        <f t="shared" si="6"/>
        <v>0</v>
      </c>
    </row>
    <row r="22" spans="1:25" x14ac:dyDescent="0.25">
      <c r="A22" s="66" t="s">
        <v>949</v>
      </c>
      <c r="B22" s="66" t="s">
        <v>785</v>
      </c>
      <c r="C22" s="67">
        <f>+C23</f>
        <v>0</v>
      </c>
      <c r="D22" s="67">
        <f t="shared" si="17"/>
        <v>0</v>
      </c>
      <c r="E22" s="67">
        <f t="shared" si="17"/>
        <v>0</v>
      </c>
      <c r="F22" s="67">
        <f t="shared" si="17"/>
        <v>0</v>
      </c>
      <c r="G22" s="67">
        <f t="shared" si="17"/>
        <v>7490000</v>
      </c>
      <c r="H22" s="67">
        <f t="shared" si="17"/>
        <v>1842000</v>
      </c>
      <c r="I22" s="67">
        <f t="shared" si="17"/>
        <v>7490000</v>
      </c>
      <c r="J22" s="67">
        <f t="shared" si="17"/>
        <v>-7490000</v>
      </c>
      <c r="K22" s="68" t="e">
        <f t="shared" si="3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18"/>
        <v>0</v>
      </c>
      <c r="Q22" s="67">
        <f t="shared" si="18"/>
        <v>0</v>
      </c>
      <c r="R22" s="67">
        <f t="shared" si="18"/>
        <v>0</v>
      </c>
      <c r="S22" s="67">
        <f t="shared" si="18"/>
        <v>3888000</v>
      </c>
      <c r="T22" s="67">
        <f t="shared" si="18"/>
        <v>1842000</v>
      </c>
      <c r="U22" s="67">
        <f t="shared" si="18"/>
        <v>7490000</v>
      </c>
      <c r="V22" s="67">
        <f t="shared" si="18"/>
        <v>-7490000</v>
      </c>
      <c r="W22" s="68" t="e">
        <f t="shared" si="5"/>
        <v>#DIV/0!</v>
      </c>
      <c r="X22" s="230">
        <f t="shared" si="6"/>
        <v>0</v>
      </c>
    </row>
    <row r="23" spans="1:25" x14ac:dyDescent="0.25">
      <c r="A23" s="69" t="s">
        <v>950</v>
      </c>
      <c r="B23" s="69" t="s">
        <v>785</v>
      </c>
      <c r="C23" s="70">
        <f>+C24</f>
        <v>0</v>
      </c>
      <c r="D23" s="70">
        <f t="shared" si="17"/>
        <v>0</v>
      </c>
      <c r="E23" s="70">
        <f t="shared" si="17"/>
        <v>0</v>
      </c>
      <c r="F23" s="70">
        <f t="shared" si="17"/>
        <v>0</v>
      </c>
      <c r="G23" s="70">
        <f t="shared" si="17"/>
        <v>7490000</v>
      </c>
      <c r="H23" s="70">
        <f t="shared" si="17"/>
        <v>1842000</v>
      </c>
      <c r="I23" s="70">
        <f t="shared" si="17"/>
        <v>7490000</v>
      </c>
      <c r="J23" s="70">
        <f t="shared" si="17"/>
        <v>-7490000</v>
      </c>
      <c r="K23" s="71" t="e">
        <f t="shared" si="3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18"/>
        <v>0</v>
      </c>
      <c r="Q23" s="70">
        <f t="shared" si="18"/>
        <v>0</v>
      </c>
      <c r="R23" s="70">
        <f t="shared" si="18"/>
        <v>0</v>
      </c>
      <c r="S23" s="70">
        <f t="shared" si="18"/>
        <v>3888000</v>
      </c>
      <c r="T23" s="70">
        <f t="shared" si="18"/>
        <v>1842000</v>
      </c>
      <c r="U23" s="70">
        <f t="shared" si="18"/>
        <v>7490000</v>
      </c>
      <c r="V23" s="70">
        <f t="shared" si="18"/>
        <v>-7490000</v>
      </c>
      <c r="W23" s="71" t="e">
        <f t="shared" si="5"/>
        <v>#DIV/0!</v>
      </c>
      <c r="X23" s="230">
        <f t="shared" si="6"/>
        <v>0</v>
      </c>
    </row>
    <row r="24" spans="1:25" x14ac:dyDescent="0.25">
      <c r="A24" s="84" t="s">
        <v>951</v>
      </c>
      <c r="B24" s="84" t="s">
        <v>786</v>
      </c>
      <c r="C24" s="73"/>
      <c r="D24" s="74"/>
      <c r="E24" s="85"/>
      <c r="F24" s="86">
        <f>+C24+D24-E24</f>
        <v>0</v>
      </c>
      <c r="G24" s="86">
        <v>7490000</v>
      </c>
      <c r="H24" s="74">
        <v>1842000</v>
      </c>
      <c r="I24" s="86">
        <v>7490000</v>
      </c>
      <c r="J24" s="75">
        <f>+F24-I24</f>
        <v>-7490000</v>
      </c>
      <c r="K24" s="87" t="e">
        <f t="shared" si="3"/>
        <v>#DIV/0!</v>
      </c>
      <c r="M24" s="84" t="s">
        <v>951</v>
      </c>
      <c r="N24" s="84" t="s">
        <v>786</v>
      </c>
      <c r="O24" s="73"/>
      <c r="P24" s="74"/>
      <c r="Q24" s="85"/>
      <c r="R24" s="86">
        <f>+O24+P24-Q24</f>
        <v>0</v>
      </c>
      <c r="S24" s="86">
        <v>3888000</v>
      </c>
      <c r="T24" s="74">
        <v>1842000</v>
      </c>
      <c r="U24" s="86">
        <f>5648000+T24</f>
        <v>7490000</v>
      </c>
      <c r="V24" s="75">
        <f>+R24-U24</f>
        <v>-7490000</v>
      </c>
      <c r="W24" s="87" t="e">
        <f t="shared" si="5"/>
        <v>#DIV/0!</v>
      </c>
      <c r="X24" s="230">
        <f t="shared" si="6"/>
        <v>0</v>
      </c>
    </row>
    <row r="25" spans="1:25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19">+D26</f>
        <v>0</v>
      </c>
      <c r="E25" s="67">
        <f t="shared" si="19"/>
        <v>0</v>
      </c>
      <c r="F25" s="67">
        <f t="shared" si="19"/>
        <v>44132120803.339996</v>
      </c>
      <c r="G25" s="67">
        <f t="shared" si="19"/>
        <v>10276779219</v>
      </c>
      <c r="H25" s="67">
        <f t="shared" si="19"/>
        <v>2334916171</v>
      </c>
      <c r="I25" s="67">
        <f t="shared" si="19"/>
        <v>10276779219</v>
      </c>
      <c r="J25" s="67">
        <f t="shared" si="19"/>
        <v>33855341584.34</v>
      </c>
      <c r="K25" s="68">
        <f t="shared" si="3"/>
        <v>0.23286393293435911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0">+P26</f>
        <v>0</v>
      </c>
      <c r="Q25" s="67">
        <f t="shared" si="20"/>
        <v>0</v>
      </c>
      <c r="R25" s="67">
        <f t="shared" si="20"/>
        <v>44132120803.339996</v>
      </c>
      <c r="S25" s="67">
        <f t="shared" si="20"/>
        <v>5321202925</v>
      </c>
      <c r="T25" s="67">
        <f t="shared" si="20"/>
        <v>2334916171</v>
      </c>
      <c r="U25" s="67">
        <f t="shared" si="20"/>
        <v>10276779219</v>
      </c>
      <c r="V25" s="67">
        <f t="shared" si="20"/>
        <v>33855341584.34</v>
      </c>
      <c r="W25" s="68">
        <f t="shared" si="5"/>
        <v>0.23286393293435911</v>
      </c>
      <c r="X25" s="230">
        <f t="shared" si="6"/>
        <v>0</v>
      </c>
    </row>
    <row r="26" spans="1:25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1">+D27+D32</f>
        <v>0</v>
      </c>
      <c r="E26" s="67">
        <f t="shared" si="21"/>
        <v>0</v>
      </c>
      <c r="F26" s="67">
        <f t="shared" si="21"/>
        <v>44132120803.339996</v>
      </c>
      <c r="G26" s="67">
        <f t="shared" si="21"/>
        <v>10276779219</v>
      </c>
      <c r="H26" s="67">
        <f t="shared" si="21"/>
        <v>2334916171</v>
      </c>
      <c r="I26" s="67">
        <f t="shared" si="21"/>
        <v>10276779219</v>
      </c>
      <c r="J26" s="67">
        <f t="shared" si="21"/>
        <v>33855341584.34</v>
      </c>
      <c r="K26" s="68">
        <f t="shared" si="3"/>
        <v>0.23286393293435911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2">+P27+P32</f>
        <v>0</v>
      </c>
      <c r="Q26" s="67">
        <f t="shared" si="22"/>
        <v>0</v>
      </c>
      <c r="R26" s="67">
        <f t="shared" si="22"/>
        <v>44132120803.339996</v>
      </c>
      <c r="S26" s="67">
        <f t="shared" si="22"/>
        <v>5321202925</v>
      </c>
      <c r="T26" s="67">
        <f t="shared" si="22"/>
        <v>2334916171</v>
      </c>
      <c r="U26" s="67">
        <f t="shared" si="22"/>
        <v>10276779219</v>
      </c>
      <c r="V26" s="67">
        <f t="shared" si="22"/>
        <v>33855341584.34</v>
      </c>
      <c r="W26" s="68">
        <f t="shared" si="5"/>
        <v>0.23286393293435911</v>
      </c>
      <c r="X26" s="230">
        <f t="shared" si="6"/>
        <v>0</v>
      </c>
    </row>
    <row r="27" spans="1:25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3">+D28+D29+D30+D31</f>
        <v>0</v>
      </c>
      <c r="E27" s="70">
        <f t="shared" si="23"/>
        <v>0</v>
      </c>
      <c r="F27" s="70">
        <f t="shared" si="23"/>
        <v>35549282815.339996</v>
      </c>
      <c r="G27" s="70">
        <f t="shared" si="23"/>
        <v>6150606989</v>
      </c>
      <c r="H27" s="70">
        <f t="shared" si="23"/>
        <v>1151800750</v>
      </c>
      <c r="I27" s="70">
        <f t="shared" si="23"/>
        <v>6150606989</v>
      </c>
      <c r="J27" s="70">
        <f t="shared" si="23"/>
        <v>29398675826.34</v>
      </c>
      <c r="K27" s="71">
        <f t="shared" si="3"/>
        <v>0.17301634525087886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4">+P28+P29+P30+P31</f>
        <v>0</v>
      </c>
      <c r="Q27" s="70">
        <f t="shared" si="24"/>
        <v>0</v>
      </c>
      <c r="R27" s="70">
        <f t="shared" si="24"/>
        <v>35549282815.339996</v>
      </c>
      <c r="S27" s="70">
        <f t="shared" si="24"/>
        <v>3352150910</v>
      </c>
      <c r="T27" s="70">
        <f t="shared" si="24"/>
        <v>1151800750</v>
      </c>
      <c r="U27" s="70">
        <f t="shared" si="24"/>
        <v>6150606989</v>
      </c>
      <c r="V27" s="70">
        <f t="shared" si="24"/>
        <v>29398675826.34</v>
      </c>
      <c r="W27" s="71">
        <f t="shared" si="5"/>
        <v>0.17301634525087886</v>
      </c>
      <c r="X27" s="230">
        <f t="shared" si="6"/>
        <v>0</v>
      </c>
    </row>
    <row r="28" spans="1:25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>+C28+D28-E28</f>
        <v>1700000000</v>
      </c>
      <c r="G28" s="74">
        <v>917869000</v>
      </c>
      <c r="H28" s="74"/>
      <c r="I28" s="74">
        <v>917869000</v>
      </c>
      <c r="J28" s="88">
        <f>+F28-I28</f>
        <v>782131000</v>
      </c>
      <c r="K28" s="89">
        <f t="shared" si="3"/>
        <v>0.53992294117647055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>+O28+P28-Q28</f>
        <v>1700000000</v>
      </c>
      <c r="S28" s="74">
        <v>917869000</v>
      </c>
      <c r="T28" s="74"/>
      <c r="U28" s="74">
        <v>917869000</v>
      </c>
      <c r="V28" s="88">
        <f>+R28-U28</f>
        <v>782131000</v>
      </c>
      <c r="W28" s="89">
        <f t="shared" si="5"/>
        <v>0.53992294117647055</v>
      </c>
      <c r="X28" s="230">
        <f t="shared" si="6"/>
        <v>0</v>
      </c>
    </row>
    <row r="29" spans="1:25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>+C29+D29-E29</f>
        <v>918957514</v>
      </c>
      <c r="G29" s="86">
        <v>860343435</v>
      </c>
      <c r="H29" s="74">
        <v>169112790</v>
      </c>
      <c r="I29" s="86">
        <v>860343435</v>
      </c>
      <c r="J29" s="75">
        <f>+F29-I29</f>
        <v>58614079</v>
      </c>
      <c r="K29" s="87">
        <f t="shared" si="3"/>
        <v>0.93621676942945153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>+O29+P29-Q29</f>
        <v>918957514</v>
      </c>
      <c r="S29" s="86">
        <v>277733817</v>
      </c>
      <c r="T29" s="74">
        <v>169112790</v>
      </c>
      <c r="U29" s="86">
        <f>691230645+T29</f>
        <v>860343435</v>
      </c>
      <c r="V29" s="75">
        <f>+R29-U29</f>
        <v>58614079</v>
      </c>
      <c r="W29" s="87">
        <f t="shared" si="5"/>
        <v>0.93621676942945153</v>
      </c>
      <c r="X29" s="230">
        <f t="shared" si="6"/>
        <v>0</v>
      </c>
    </row>
    <row r="30" spans="1:25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3975342396</v>
      </c>
      <c r="H30" s="74">
        <v>837252110</v>
      </c>
      <c r="I30" s="86">
        <v>3975342396</v>
      </c>
      <c r="J30" s="75">
        <f>+F30-I30</f>
        <v>28582110267.34</v>
      </c>
      <c r="K30" s="87">
        <f t="shared" si="3"/>
        <v>0.12210237812850368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1973407141</v>
      </c>
      <c r="T30" s="74">
        <v>837252110</v>
      </c>
      <c r="U30" s="86">
        <f>3138090286+T30</f>
        <v>3975342396</v>
      </c>
      <c r="V30" s="75">
        <f>+R30-U30</f>
        <v>28582110267.34</v>
      </c>
      <c r="W30" s="87">
        <f t="shared" si="5"/>
        <v>0.12210237812850368</v>
      </c>
      <c r="X30" s="230">
        <f t="shared" si="6"/>
        <v>0</v>
      </c>
    </row>
    <row r="31" spans="1:25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>+C31+D31-E31</f>
        <v>372872638</v>
      </c>
      <c r="G31" s="86">
        <v>397052158</v>
      </c>
      <c r="H31" s="74">
        <v>145435850</v>
      </c>
      <c r="I31" s="86">
        <v>397052158</v>
      </c>
      <c r="J31" s="75">
        <f>+F31-I31</f>
        <v>-24179520</v>
      </c>
      <c r="K31" s="87">
        <f t="shared" si="3"/>
        <v>1.0648465924710733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>+O31+P31-Q31</f>
        <v>372872638</v>
      </c>
      <c r="S31" s="86">
        <v>183140952</v>
      </c>
      <c r="T31" s="74">
        <v>145435850</v>
      </c>
      <c r="U31" s="86">
        <f>251616308+T31</f>
        <v>397052158</v>
      </c>
      <c r="V31" s="75">
        <f>+R31-U31</f>
        <v>-24179520</v>
      </c>
      <c r="W31" s="87">
        <f t="shared" si="5"/>
        <v>1.0648465924710733</v>
      </c>
      <c r="X31" s="230">
        <f t="shared" si="6"/>
        <v>0</v>
      </c>
    </row>
    <row r="32" spans="1:25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5">SUM(D33:D36)</f>
        <v>0</v>
      </c>
      <c r="E32" s="70">
        <f t="shared" si="25"/>
        <v>0</v>
      </c>
      <c r="F32" s="70">
        <f t="shared" si="25"/>
        <v>8582837988</v>
      </c>
      <c r="G32" s="70">
        <f t="shared" si="25"/>
        <v>4126172230</v>
      </c>
      <c r="H32" s="70">
        <f t="shared" si="25"/>
        <v>1183115421</v>
      </c>
      <c r="I32" s="70">
        <f t="shared" si="25"/>
        <v>4126172230</v>
      </c>
      <c r="J32" s="70">
        <f t="shared" si="25"/>
        <v>4456665758</v>
      </c>
      <c r="K32" s="71">
        <f t="shared" si="3"/>
        <v>0.48074683872268847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6">SUM(P33:P36)</f>
        <v>0</v>
      </c>
      <c r="Q32" s="70">
        <f t="shared" si="26"/>
        <v>0</v>
      </c>
      <c r="R32" s="70">
        <f t="shared" si="26"/>
        <v>8582837988</v>
      </c>
      <c r="S32" s="70">
        <f t="shared" si="26"/>
        <v>1969052015</v>
      </c>
      <c r="T32" s="70">
        <f t="shared" si="26"/>
        <v>1183115421</v>
      </c>
      <c r="U32" s="70">
        <f t="shared" si="26"/>
        <v>4126172230</v>
      </c>
      <c r="V32" s="70">
        <f t="shared" si="26"/>
        <v>4456665758</v>
      </c>
      <c r="W32" s="71">
        <f t="shared" si="5"/>
        <v>0.48074683872268847</v>
      </c>
      <c r="X32" s="230">
        <f t="shared" si="6"/>
        <v>0</v>
      </c>
    </row>
    <row r="33" spans="1:24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>+C33+D33-E33</f>
        <v>300000000</v>
      </c>
      <c r="G33" s="86">
        <v>62152000</v>
      </c>
      <c r="H33" s="74">
        <v>8704000</v>
      </c>
      <c r="I33" s="86">
        <v>62152000</v>
      </c>
      <c r="J33" s="75">
        <f>+F33-I33</f>
        <v>237848000</v>
      </c>
      <c r="K33" s="87">
        <f t="shared" si="3"/>
        <v>0.20717333333333332</v>
      </c>
      <c r="M33" s="84" t="s">
        <v>965</v>
      </c>
      <c r="N33" s="84" t="s">
        <v>958</v>
      </c>
      <c r="O33" s="73">
        <v>300000000</v>
      </c>
      <c r="P33" s="74"/>
      <c r="Q33" s="85"/>
      <c r="R33" s="86">
        <f>+O33+P33-Q33</f>
        <v>300000000</v>
      </c>
      <c r="S33" s="86">
        <v>48552000</v>
      </c>
      <c r="T33" s="74">
        <v>8704000</v>
      </c>
      <c r="U33" s="86">
        <f>53448000+T33</f>
        <v>62152000</v>
      </c>
      <c r="V33" s="75">
        <f>+R33-U33</f>
        <v>237848000</v>
      </c>
      <c r="W33" s="87">
        <f t="shared" si="5"/>
        <v>0.20717333333333332</v>
      </c>
      <c r="X33" s="230">
        <f t="shared" si="6"/>
        <v>0</v>
      </c>
    </row>
    <row r="34" spans="1:24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>+C34+D34-E34</f>
        <v>205695341</v>
      </c>
      <c r="G34" s="86">
        <v>211877713</v>
      </c>
      <c r="H34" s="74">
        <v>13306000</v>
      </c>
      <c r="I34" s="86">
        <v>211877713</v>
      </c>
      <c r="J34" s="75">
        <f>+F34-I34</f>
        <v>-6182372</v>
      </c>
      <c r="K34" s="87">
        <f t="shared" si="3"/>
        <v>1.030055965147018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>+O34+P34-Q34</f>
        <v>205695341</v>
      </c>
      <c r="S34" s="86">
        <v>106763713</v>
      </c>
      <c r="T34" s="74">
        <v>13306000</v>
      </c>
      <c r="U34" s="86">
        <f>198571713+T34</f>
        <v>211877713</v>
      </c>
      <c r="V34" s="75">
        <f>+R34-U34</f>
        <v>-6182372</v>
      </c>
      <c r="W34" s="87">
        <f t="shared" si="5"/>
        <v>1.030055965147018</v>
      </c>
      <c r="X34" s="230">
        <f t="shared" si="6"/>
        <v>0</v>
      </c>
    </row>
    <row r="35" spans="1:24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>+C35+D35-E35</f>
        <v>7926773797</v>
      </c>
      <c r="G35" s="86">
        <v>3821734915</v>
      </c>
      <c r="H35" s="74">
        <v>1155569419</v>
      </c>
      <c r="I35" s="86">
        <v>3821734915</v>
      </c>
      <c r="J35" s="75">
        <f>+F35-I35</f>
        <v>4105038882</v>
      </c>
      <c r="K35" s="87">
        <f t="shared" si="3"/>
        <v>0.48212993241290547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>+O35+P35-Q35</f>
        <v>7926773797</v>
      </c>
      <c r="S35" s="86">
        <v>1789762702</v>
      </c>
      <c r="T35" s="74">
        <f>1155569419</f>
        <v>1155569419</v>
      </c>
      <c r="U35" s="86">
        <f>2666165496+T35</f>
        <v>3821734915</v>
      </c>
      <c r="V35" s="75">
        <f>+R35-U35</f>
        <v>4105038882</v>
      </c>
      <c r="W35" s="87">
        <f t="shared" si="5"/>
        <v>0.48212993241290547</v>
      </c>
      <c r="X35" s="230">
        <f t="shared" si="6"/>
        <v>0</v>
      </c>
    </row>
    <row r="36" spans="1:24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>+C36+D36-E36</f>
        <v>150368850</v>
      </c>
      <c r="G36" s="86">
        <v>30407602</v>
      </c>
      <c r="H36" s="74">
        <v>5536002</v>
      </c>
      <c r="I36" s="86">
        <v>30407602</v>
      </c>
      <c r="J36" s="75">
        <f>+F36-I36</f>
        <v>119961248</v>
      </c>
      <c r="K36" s="90">
        <f t="shared" si="3"/>
        <v>0.20222008747157408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>+O36+P36-Q36</f>
        <v>150368850</v>
      </c>
      <c r="S36" s="86">
        <v>23973600</v>
      </c>
      <c r="T36" s="74">
        <v>5536002</v>
      </c>
      <c r="U36" s="86">
        <f>24871600+T36</f>
        <v>30407602</v>
      </c>
      <c r="V36" s="75">
        <f>+R36-U36</f>
        <v>119961248</v>
      </c>
      <c r="W36" s="90">
        <f t="shared" si="5"/>
        <v>0.20222008747157408</v>
      </c>
      <c r="X36" s="230">
        <f t="shared" si="6"/>
        <v>0</v>
      </c>
    </row>
    <row r="37" spans="1:24" x14ac:dyDescent="0.25">
      <c r="A37" s="66" t="s">
        <v>970</v>
      </c>
      <c r="B37" s="66" t="s">
        <v>794</v>
      </c>
      <c r="C37" s="67">
        <f>+C38+C56</f>
        <v>4627907835.8360004</v>
      </c>
      <c r="D37" s="67">
        <f t="shared" ref="D37:J37" si="27">+D38+D56</f>
        <v>0</v>
      </c>
      <c r="E37" s="67">
        <f t="shared" si="27"/>
        <v>0</v>
      </c>
      <c r="F37" s="67">
        <f t="shared" si="27"/>
        <v>4627907835.8360004</v>
      </c>
      <c r="G37" s="67">
        <f t="shared" si="27"/>
        <v>3494499827.8600001</v>
      </c>
      <c r="H37" s="67">
        <f t="shared" si="27"/>
        <v>1016092164.86</v>
      </c>
      <c r="I37" s="67">
        <f t="shared" si="27"/>
        <v>3494499827.8600001</v>
      </c>
      <c r="J37" s="67">
        <f t="shared" si="27"/>
        <v>1268038727.9760003</v>
      </c>
      <c r="K37" s="68">
        <f t="shared" si="3"/>
        <v>0.75509278745797281</v>
      </c>
      <c r="M37" s="66" t="s">
        <v>970</v>
      </c>
      <c r="N37" s="66" t="s">
        <v>794</v>
      </c>
      <c r="O37" s="67">
        <f>+O38+O56</f>
        <v>4627907835.8360004</v>
      </c>
      <c r="P37" s="67">
        <f t="shared" ref="P37:V37" si="28">+P38+P56</f>
        <v>0</v>
      </c>
      <c r="Q37" s="67">
        <f t="shared" si="28"/>
        <v>0</v>
      </c>
      <c r="R37" s="67">
        <f t="shared" si="28"/>
        <v>4627907835.8360004</v>
      </c>
      <c r="S37" s="67">
        <f t="shared" si="28"/>
        <v>1629057371</v>
      </c>
      <c r="T37" s="67">
        <f t="shared" si="28"/>
        <v>1016092164.86</v>
      </c>
      <c r="U37" s="67">
        <f t="shared" si="28"/>
        <v>3494499827.8600001</v>
      </c>
      <c r="V37" s="67">
        <f t="shared" si="28"/>
        <v>1268038727.9760003</v>
      </c>
      <c r="W37" s="68">
        <f t="shared" si="5"/>
        <v>0.75509278745797281</v>
      </c>
      <c r="X37" s="230">
        <f t="shared" si="6"/>
        <v>0</v>
      </c>
    </row>
    <row r="38" spans="1:24" x14ac:dyDescent="0.25">
      <c r="A38" s="66" t="s">
        <v>971</v>
      </c>
      <c r="B38" s="66" t="s">
        <v>795</v>
      </c>
      <c r="C38" s="67">
        <f>+C39+C50</f>
        <v>4097537472.8360004</v>
      </c>
      <c r="D38" s="67">
        <f t="shared" ref="D38:J38" si="29">+D39+D50</f>
        <v>0</v>
      </c>
      <c r="E38" s="67">
        <f t="shared" si="29"/>
        <v>0</v>
      </c>
      <c r="F38" s="67">
        <f t="shared" si="29"/>
        <v>4097537472.8360004</v>
      </c>
      <c r="G38" s="67">
        <f t="shared" si="29"/>
        <v>2957290497.8600001</v>
      </c>
      <c r="H38" s="67">
        <f t="shared" si="29"/>
        <v>848643521.86000001</v>
      </c>
      <c r="I38" s="67">
        <f t="shared" si="29"/>
        <v>2957290497.8600001</v>
      </c>
      <c r="J38" s="67">
        <f t="shared" si="29"/>
        <v>1274869944.9760003</v>
      </c>
      <c r="K38" s="68">
        <f t="shared" si="3"/>
        <v>0.72172384449560412</v>
      </c>
      <c r="M38" s="66" t="s">
        <v>971</v>
      </c>
      <c r="N38" s="66" t="s">
        <v>795</v>
      </c>
      <c r="O38" s="67">
        <f>+O39+O50</f>
        <v>4097537472.8360004</v>
      </c>
      <c r="P38" s="67">
        <f t="shared" ref="P38:V38" si="30">+P39+P50</f>
        <v>0</v>
      </c>
      <c r="Q38" s="67">
        <f t="shared" si="30"/>
        <v>0</v>
      </c>
      <c r="R38" s="67">
        <f t="shared" si="30"/>
        <v>4097537472.8360004</v>
      </c>
      <c r="S38" s="67">
        <f t="shared" si="30"/>
        <v>1328888078</v>
      </c>
      <c r="T38" s="67">
        <f t="shared" si="30"/>
        <v>848643521.86000001</v>
      </c>
      <c r="U38" s="67">
        <f t="shared" si="30"/>
        <v>2957290497.8600001</v>
      </c>
      <c r="V38" s="67">
        <f t="shared" si="30"/>
        <v>1274869944.9760003</v>
      </c>
      <c r="W38" s="68">
        <f t="shared" si="5"/>
        <v>0.72172384449560412</v>
      </c>
      <c r="X38" s="230">
        <f t="shared" si="6"/>
        <v>0</v>
      </c>
    </row>
    <row r="39" spans="1:24" x14ac:dyDescent="0.25">
      <c r="A39" s="66" t="s">
        <v>972</v>
      </c>
      <c r="B39" s="66" t="s">
        <v>421</v>
      </c>
      <c r="C39" s="67">
        <f>+C44+C40+C48</f>
        <v>1553886463.8360002</v>
      </c>
      <c r="D39" s="67">
        <f t="shared" ref="D39:J39" si="31">+D44+D40+D48</f>
        <v>0</v>
      </c>
      <c r="E39" s="67">
        <f t="shared" si="31"/>
        <v>0</v>
      </c>
      <c r="F39" s="67">
        <f t="shared" si="31"/>
        <v>1553886463.8360002</v>
      </c>
      <c r="G39" s="67">
        <f t="shared" si="31"/>
        <v>605873588.86000001</v>
      </c>
      <c r="H39" s="67">
        <f t="shared" si="31"/>
        <v>109280297.86</v>
      </c>
      <c r="I39" s="67">
        <f t="shared" si="31"/>
        <v>605873588.86000001</v>
      </c>
      <c r="J39" s="67">
        <f t="shared" si="31"/>
        <v>1082635844.9760003</v>
      </c>
      <c r="K39" s="68">
        <f t="shared" si="3"/>
        <v>0.38990853126058567</v>
      </c>
      <c r="M39" s="66" t="s">
        <v>972</v>
      </c>
      <c r="N39" s="66" t="s">
        <v>421</v>
      </c>
      <c r="O39" s="67">
        <f>+O44+O40+O48</f>
        <v>1553886463.8360002</v>
      </c>
      <c r="P39" s="67">
        <f t="shared" ref="P39:V39" si="32">+P44+P40+P48</f>
        <v>0</v>
      </c>
      <c r="Q39" s="67">
        <f t="shared" si="32"/>
        <v>0</v>
      </c>
      <c r="R39" s="67">
        <f t="shared" si="32"/>
        <v>1553886463.8360002</v>
      </c>
      <c r="S39" s="67">
        <f t="shared" si="32"/>
        <v>393111851</v>
      </c>
      <c r="T39" s="67">
        <f t="shared" si="32"/>
        <v>109280297.86</v>
      </c>
      <c r="U39" s="67">
        <f t="shared" si="32"/>
        <v>605873588.86000001</v>
      </c>
      <c r="V39" s="67">
        <f t="shared" si="32"/>
        <v>1082635844.9760003</v>
      </c>
      <c r="W39" s="68">
        <f t="shared" si="5"/>
        <v>0.38990853126058567</v>
      </c>
      <c r="X39" s="230">
        <f t="shared" si="6"/>
        <v>0</v>
      </c>
    </row>
    <row r="40" spans="1:24" s="181" customFormat="1" x14ac:dyDescent="0.25">
      <c r="A40" s="69" t="s">
        <v>973</v>
      </c>
      <c r="B40" s="69" t="s">
        <v>750</v>
      </c>
      <c r="C40" s="70">
        <f>C41+C42+C43</f>
        <v>18200000</v>
      </c>
      <c r="D40" s="70">
        <f t="shared" ref="D40:J40" si="33">D41+D42+D43</f>
        <v>0</v>
      </c>
      <c r="E40" s="70">
        <f t="shared" si="33"/>
        <v>0</v>
      </c>
      <c r="F40" s="70">
        <f t="shared" si="33"/>
        <v>18200000</v>
      </c>
      <c r="G40" s="70">
        <f t="shared" si="33"/>
        <v>28970970</v>
      </c>
      <c r="H40" s="70">
        <f t="shared" si="33"/>
        <v>300000</v>
      </c>
      <c r="I40" s="70">
        <f t="shared" si="33"/>
        <v>28970970</v>
      </c>
      <c r="J40" s="70">
        <f t="shared" si="33"/>
        <v>18200000</v>
      </c>
      <c r="K40" s="71">
        <f t="shared" si="3"/>
        <v>1.5918115384615386</v>
      </c>
      <c r="L40" s="55"/>
      <c r="M40" s="69" t="s">
        <v>973</v>
      </c>
      <c r="N40" s="69" t="s">
        <v>750</v>
      </c>
      <c r="O40" s="70">
        <f>O41+O42+O43</f>
        <v>18200000</v>
      </c>
      <c r="P40" s="70">
        <f t="shared" ref="P40:V40" si="34">P41+P42+P43</f>
        <v>0</v>
      </c>
      <c r="Q40" s="70">
        <f t="shared" si="34"/>
        <v>0</v>
      </c>
      <c r="R40" s="70">
        <f t="shared" si="34"/>
        <v>18200000</v>
      </c>
      <c r="S40" s="70">
        <f t="shared" si="34"/>
        <v>24670970</v>
      </c>
      <c r="T40" s="70">
        <f t="shared" si="34"/>
        <v>300000</v>
      </c>
      <c r="U40" s="70">
        <f t="shared" si="34"/>
        <v>28970970</v>
      </c>
      <c r="V40" s="70">
        <f t="shared" si="34"/>
        <v>18200000</v>
      </c>
      <c r="W40" s="71">
        <f t="shared" si="5"/>
        <v>1.5918115384615386</v>
      </c>
      <c r="X40" s="230">
        <f t="shared" si="6"/>
        <v>0</v>
      </c>
    </row>
    <row r="41" spans="1:24" ht="30" x14ac:dyDescent="0.25">
      <c r="A41" s="82" t="s">
        <v>974</v>
      </c>
      <c r="B41" s="92" t="s">
        <v>796</v>
      </c>
      <c r="C41" s="73">
        <v>18200000</v>
      </c>
      <c r="D41" s="81"/>
      <c r="E41" s="81"/>
      <c r="F41" s="86">
        <f>+C41+D41-E41</f>
        <v>18200000</v>
      </c>
      <c r="G41" s="86">
        <v>0</v>
      </c>
      <c r="H41" s="81"/>
      <c r="I41" s="86">
        <v>0</v>
      </c>
      <c r="J41" s="75">
        <f>+F41-I41</f>
        <v>18200000</v>
      </c>
      <c r="K41" s="90">
        <f t="shared" si="3"/>
        <v>0</v>
      </c>
      <c r="M41" s="82" t="s">
        <v>974</v>
      </c>
      <c r="N41" s="92" t="s">
        <v>796</v>
      </c>
      <c r="O41" s="73">
        <v>18200000</v>
      </c>
      <c r="P41" s="81"/>
      <c r="Q41" s="81"/>
      <c r="R41" s="86">
        <f>+O41+P41-Q41</f>
        <v>18200000</v>
      </c>
      <c r="S41" s="86">
        <v>0</v>
      </c>
      <c r="T41" s="81"/>
      <c r="U41" s="86">
        <v>0</v>
      </c>
      <c r="V41" s="75">
        <f>+R41-U41</f>
        <v>18200000</v>
      </c>
      <c r="W41" s="90">
        <f t="shared" si="5"/>
        <v>0</v>
      </c>
      <c r="X41" s="230">
        <f t="shared" si="6"/>
        <v>0</v>
      </c>
    </row>
    <row r="42" spans="1:24" ht="30" x14ac:dyDescent="0.25">
      <c r="A42" s="82" t="s">
        <v>1169</v>
      </c>
      <c r="B42" s="92" t="s">
        <v>1170</v>
      </c>
      <c r="C42" s="73"/>
      <c r="D42" s="81"/>
      <c r="E42" s="81"/>
      <c r="F42" s="86">
        <f>+C42+D42-E42</f>
        <v>0</v>
      </c>
      <c r="G42" s="86">
        <v>27300000</v>
      </c>
      <c r="H42" s="81">
        <v>300000</v>
      </c>
      <c r="I42" s="86">
        <v>27300000</v>
      </c>
      <c r="J42" s="75"/>
      <c r="K42" s="90"/>
      <c r="M42" s="82" t="s">
        <v>1169</v>
      </c>
      <c r="N42" s="92" t="s">
        <v>1170</v>
      </c>
      <c r="O42" s="73"/>
      <c r="P42" s="81"/>
      <c r="Q42" s="81"/>
      <c r="R42" s="86">
        <f>+O42+P42-Q42</f>
        <v>0</v>
      </c>
      <c r="S42" s="86">
        <v>23000000</v>
      </c>
      <c r="T42" s="81">
        <v>300000</v>
      </c>
      <c r="U42" s="86">
        <f>27000000+T42</f>
        <v>27300000</v>
      </c>
      <c r="V42" s="75"/>
      <c r="W42" s="90"/>
      <c r="X42" s="230">
        <f t="shared" si="6"/>
        <v>0</v>
      </c>
    </row>
    <row r="43" spans="1:24" ht="30" x14ac:dyDescent="0.25">
      <c r="A43" s="82" t="s">
        <v>1212</v>
      </c>
      <c r="B43" s="92" t="s">
        <v>1213</v>
      </c>
      <c r="C43" s="73"/>
      <c r="D43" s="81"/>
      <c r="E43" s="81"/>
      <c r="F43" s="86">
        <f>+C43+D43-E43</f>
        <v>0</v>
      </c>
      <c r="G43" s="86">
        <v>1670970</v>
      </c>
      <c r="H43" s="81"/>
      <c r="I43" s="86">
        <v>1670970</v>
      </c>
      <c r="J43" s="75"/>
      <c r="K43" s="90"/>
      <c r="M43" s="82" t="s">
        <v>1212</v>
      </c>
      <c r="N43" s="92" t="s">
        <v>1213</v>
      </c>
      <c r="O43" s="73"/>
      <c r="P43" s="81"/>
      <c r="Q43" s="81"/>
      <c r="R43" s="86">
        <f>+O43+P43-Q43</f>
        <v>0</v>
      </c>
      <c r="S43" s="86">
        <v>1670970</v>
      </c>
      <c r="T43" s="81"/>
      <c r="U43" s="86">
        <v>1670970</v>
      </c>
      <c r="V43" s="75"/>
      <c r="W43" s="90"/>
      <c r="X43" s="230">
        <f t="shared" si="6"/>
        <v>0</v>
      </c>
    </row>
    <row r="44" spans="1:24" x14ac:dyDescent="0.25">
      <c r="A44" s="69" t="s">
        <v>975</v>
      </c>
      <c r="B44" s="69" t="s">
        <v>976</v>
      </c>
      <c r="C44" s="70">
        <f>+C45+C46+C47</f>
        <v>1535686463.8360002</v>
      </c>
      <c r="D44" s="70">
        <f t="shared" ref="D44:J44" si="35">+D45+D46+D47</f>
        <v>0</v>
      </c>
      <c r="E44" s="70">
        <f t="shared" si="35"/>
        <v>0</v>
      </c>
      <c r="F44" s="70">
        <f t="shared" si="35"/>
        <v>1535686463.8360002</v>
      </c>
      <c r="G44" s="70">
        <f t="shared" si="35"/>
        <v>575642718.86000001</v>
      </c>
      <c r="H44" s="70">
        <f t="shared" si="35"/>
        <v>108673397.86</v>
      </c>
      <c r="I44" s="70">
        <f t="shared" si="35"/>
        <v>575642718.86000001</v>
      </c>
      <c r="J44" s="70">
        <f t="shared" si="35"/>
        <v>1064435844.9760002</v>
      </c>
      <c r="K44" s="71">
        <f t="shared" si="3"/>
        <v>0.37484391014432639</v>
      </c>
      <c r="M44" s="69" t="s">
        <v>975</v>
      </c>
      <c r="N44" s="69" t="s">
        <v>976</v>
      </c>
      <c r="O44" s="70">
        <f>+O45+O46+O47</f>
        <v>1535686463.8360002</v>
      </c>
      <c r="P44" s="70">
        <f t="shared" ref="P44:V44" si="36">+P45+P46+P47</f>
        <v>0</v>
      </c>
      <c r="Q44" s="70">
        <f t="shared" si="36"/>
        <v>0</v>
      </c>
      <c r="R44" s="70">
        <f t="shared" si="36"/>
        <v>1535686463.8360002</v>
      </c>
      <c r="S44" s="70">
        <f t="shared" si="36"/>
        <v>368345781</v>
      </c>
      <c r="T44" s="70">
        <f t="shared" si="36"/>
        <v>108673397.86</v>
      </c>
      <c r="U44" s="70">
        <f t="shared" si="36"/>
        <v>575642718.86000001</v>
      </c>
      <c r="V44" s="70">
        <f t="shared" si="36"/>
        <v>1064435844.9760002</v>
      </c>
      <c r="W44" s="71">
        <f t="shared" si="5"/>
        <v>0.37484391014432639</v>
      </c>
      <c r="X44" s="230">
        <f t="shared" si="6"/>
        <v>0</v>
      </c>
    </row>
    <row r="45" spans="1:24" x14ac:dyDescent="0.25">
      <c r="A45" s="93">
        <v>10250108304</v>
      </c>
      <c r="B45" s="94" t="s">
        <v>798</v>
      </c>
      <c r="C45" s="73">
        <v>224040000</v>
      </c>
      <c r="D45" s="74"/>
      <c r="E45" s="85"/>
      <c r="F45" s="86">
        <f>+C45+D45-E45</f>
        <v>224040000</v>
      </c>
      <c r="G45" s="95">
        <v>2767125.86</v>
      </c>
      <c r="H45" s="74">
        <v>732808.86</v>
      </c>
      <c r="I45" s="95">
        <v>2767125.86</v>
      </c>
      <c r="J45" s="75">
        <f>+F45-I45</f>
        <v>221272874.13999999</v>
      </c>
      <c r="K45" s="87">
        <f t="shared" si="3"/>
        <v>1.2351034904481343E-2</v>
      </c>
      <c r="M45" s="93">
        <v>10250108304</v>
      </c>
      <c r="N45" s="94" t="s">
        <v>798</v>
      </c>
      <c r="O45" s="73">
        <v>224040000</v>
      </c>
      <c r="P45" s="74"/>
      <c r="Q45" s="85"/>
      <c r="R45" s="86">
        <f>+O45+P45-Q45</f>
        <v>224040000</v>
      </c>
      <c r="S45" s="95">
        <v>1822274</v>
      </c>
      <c r="T45" s="74">
        <f>91620.83+641188.03</f>
        <v>732808.86</v>
      </c>
      <c r="U45" s="95">
        <f>2034317+T45</f>
        <v>2767125.86</v>
      </c>
      <c r="V45" s="75">
        <f>+R45-U45</f>
        <v>221272874.13999999</v>
      </c>
      <c r="W45" s="87">
        <f t="shared" si="5"/>
        <v>1.2351034904481343E-2</v>
      </c>
      <c r="X45" s="230">
        <f t="shared" si="6"/>
        <v>0</v>
      </c>
    </row>
    <row r="46" spans="1:24" x14ac:dyDescent="0.25">
      <c r="A46" s="93">
        <v>10250108305</v>
      </c>
      <c r="B46" s="94" t="s">
        <v>799</v>
      </c>
      <c r="C46" s="73">
        <v>1311646463.8360002</v>
      </c>
      <c r="D46" s="74"/>
      <c r="E46" s="85"/>
      <c r="F46" s="86">
        <f>+C46+D46-E46</f>
        <v>1311646463.8360002</v>
      </c>
      <c r="G46" s="95">
        <v>468483493</v>
      </c>
      <c r="H46" s="74">
        <v>104440589</v>
      </c>
      <c r="I46" s="95">
        <v>468483493</v>
      </c>
      <c r="J46" s="75">
        <f>+F46-I46</f>
        <v>843162970.8360002</v>
      </c>
      <c r="K46" s="87">
        <f t="shared" si="3"/>
        <v>0.35717207793164618</v>
      </c>
      <c r="M46" s="93">
        <v>10250108305</v>
      </c>
      <c r="N46" s="94" t="s">
        <v>799</v>
      </c>
      <c r="O46" s="73">
        <v>1311646463.8360002</v>
      </c>
      <c r="P46" s="74"/>
      <c r="Q46" s="85"/>
      <c r="R46" s="86">
        <f>+O46+P46-Q46</f>
        <v>1311646463.8360002</v>
      </c>
      <c r="S46" s="95">
        <v>280567407</v>
      </c>
      <c r="T46" s="74">
        <f>77547787+26892802</f>
        <v>104440589</v>
      </c>
      <c r="U46" s="95">
        <f>364042904+T46</f>
        <v>468483493</v>
      </c>
      <c r="V46" s="75">
        <f>+R46-U46</f>
        <v>843162970.8360002</v>
      </c>
      <c r="W46" s="87">
        <f t="shared" si="5"/>
        <v>0.35717207793164618</v>
      </c>
      <c r="X46" s="230">
        <f t="shared" si="6"/>
        <v>0</v>
      </c>
    </row>
    <row r="47" spans="1:24" x14ac:dyDescent="0.25">
      <c r="A47" s="93">
        <v>10250108309</v>
      </c>
      <c r="B47" s="94" t="s">
        <v>1214</v>
      </c>
      <c r="C47" s="73"/>
      <c r="D47" s="74"/>
      <c r="E47" s="85"/>
      <c r="F47" s="86">
        <f>+C47+D47-E47</f>
        <v>0</v>
      </c>
      <c r="G47" s="95">
        <v>104392100</v>
      </c>
      <c r="H47" s="74">
        <v>3500000</v>
      </c>
      <c r="I47" s="95">
        <v>104392100</v>
      </c>
      <c r="J47" s="75"/>
      <c r="K47" s="87"/>
      <c r="M47" s="93">
        <v>10250108309</v>
      </c>
      <c r="N47" s="94" t="s">
        <v>1214</v>
      </c>
      <c r="O47" s="73"/>
      <c r="P47" s="74"/>
      <c r="Q47" s="85"/>
      <c r="R47" s="86">
        <f>+O47+P47-Q47</f>
        <v>0</v>
      </c>
      <c r="S47" s="95">
        <v>85956100</v>
      </c>
      <c r="T47" s="74">
        <v>3500000</v>
      </c>
      <c r="U47" s="95">
        <f>100892100+T47</f>
        <v>104392100</v>
      </c>
      <c r="V47" s="75"/>
      <c r="W47" s="87"/>
      <c r="X47" s="230">
        <f t="shared" si="6"/>
        <v>0</v>
      </c>
    </row>
    <row r="48" spans="1:24" s="181" customFormat="1" x14ac:dyDescent="0.25">
      <c r="A48" s="106">
        <v>102501084</v>
      </c>
      <c r="B48" s="69" t="s">
        <v>439</v>
      </c>
      <c r="C48" s="70">
        <f>+C49</f>
        <v>0</v>
      </c>
      <c r="D48" s="70">
        <f t="shared" ref="D48:J48" si="37">+D49</f>
        <v>0</v>
      </c>
      <c r="E48" s="70">
        <f t="shared" si="37"/>
        <v>0</v>
      </c>
      <c r="F48" s="70">
        <f t="shared" si="37"/>
        <v>0</v>
      </c>
      <c r="G48" s="70">
        <f t="shared" si="37"/>
        <v>1259900</v>
      </c>
      <c r="H48" s="70">
        <f t="shared" si="37"/>
        <v>306900</v>
      </c>
      <c r="I48" s="70">
        <f t="shared" si="37"/>
        <v>1259900</v>
      </c>
      <c r="J48" s="70">
        <f t="shared" si="37"/>
        <v>0</v>
      </c>
      <c r="K48" s="71"/>
      <c r="L48" s="55"/>
      <c r="M48" s="106">
        <v>102501084</v>
      </c>
      <c r="N48" s="69" t="s">
        <v>439</v>
      </c>
      <c r="O48" s="70">
        <f>+O49</f>
        <v>0</v>
      </c>
      <c r="P48" s="70">
        <f t="shared" ref="P48:V48" si="38">+P49</f>
        <v>0</v>
      </c>
      <c r="Q48" s="70">
        <f t="shared" si="38"/>
        <v>0</v>
      </c>
      <c r="R48" s="70">
        <f t="shared" si="38"/>
        <v>0</v>
      </c>
      <c r="S48" s="70">
        <f t="shared" si="38"/>
        <v>95100</v>
      </c>
      <c r="T48" s="70">
        <f t="shared" si="38"/>
        <v>306900</v>
      </c>
      <c r="U48" s="70">
        <f t="shared" si="38"/>
        <v>1259900</v>
      </c>
      <c r="V48" s="70">
        <f t="shared" si="38"/>
        <v>0</v>
      </c>
      <c r="W48" s="71"/>
      <c r="X48" s="230">
        <f t="shared" si="6"/>
        <v>0</v>
      </c>
    </row>
    <row r="49" spans="1:24" x14ac:dyDescent="0.25">
      <c r="A49" s="229">
        <v>10250108405</v>
      </c>
      <c r="B49" s="94" t="s">
        <v>1215</v>
      </c>
      <c r="C49" s="73"/>
      <c r="D49" s="74"/>
      <c r="E49" s="85"/>
      <c r="F49" s="86"/>
      <c r="G49" s="95">
        <v>1259900</v>
      </c>
      <c r="H49" s="74">
        <v>306900</v>
      </c>
      <c r="I49" s="95">
        <v>1259900</v>
      </c>
      <c r="J49" s="75"/>
      <c r="K49" s="87"/>
      <c r="M49" s="229">
        <v>10250108405</v>
      </c>
      <c r="N49" s="94" t="s">
        <v>1215</v>
      </c>
      <c r="O49" s="73"/>
      <c r="P49" s="74"/>
      <c r="Q49" s="85"/>
      <c r="R49" s="86"/>
      <c r="S49" s="95">
        <v>95100</v>
      </c>
      <c r="T49" s="74">
        <v>306900</v>
      </c>
      <c r="U49" s="95">
        <f>953000+T49</f>
        <v>1259900</v>
      </c>
      <c r="V49" s="75"/>
      <c r="W49" s="87"/>
      <c r="X49" s="230">
        <f t="shared" si="6"/>
        <v>0</v>
      </c>
    </row>
    <row r="50" spans="1:24" x14ac:dyDescent="0.25">
      <c r="A50" s="66" t="s">
        <v>977</v>
      </c>
      <c r="B50" s="66" t="s">
        <v>978</v>
      </c>
      <c r="C50" s="67">
        <f>+C51+C54</f>
        <v>2543651009</v>
      </c>
      <c r="D50" s="67">
        <f t="shared" ref="D50:J50" si="39">+D51+D54</f>
        <v>0</v>
      </c>
      <c r="E50" s="67">
        <f t="shared" si="39"/>
        <v>0</v>
      </c>
      <c r="F50" s="67">
        <f t="shared" si="39"/>
        <v>2543651009</v>
      </c>
      <c r="G50" s="67">
        <f t="shared" si="39"/>
        <v>2351416909</v>
      </c>
      <c r="H50" s="67">
        <f t="shared" si="39"/>
        <v>739363224</v>
      </c>
      <c r="I50" s="67">
        <f t="shared" si="39"/>
        <v>2351416909</v>
      </c>
      <c r="J50" s="67">
        <f t="shared" si="39"/>
        <v>192234100</v>
      </c>
      <c r="K50" s="68">
        <f t="shared" si="3"/>
        <v>0.92442591404251873</v>
      </c>
      <c r="M50" s="66" t="s">
        <v>977</v>
      </c>
      <c r="N50" s="66" t="s">
        <v>978</v>
      </c>
      <c r="O50" s="67">
        <f>+O51+O54</f>
        <v>2543651009</v>
      </c>
      <c r="P50" s="67">
        <f t="shared" ref="P50:V50" si="40">+P51+P54</f>
        <v>0</v>
      </c>
      <c r="Q50" s="67">
        <f t="shared" si="40"/>
        <v>0</v>
      </c>
      <c r="R50" s="67">
        <f t="shared" si="40"/>
        <v>2543651009</v>
      </c>
      <c r="S50" s="67">
        <f t="shared" si="40"/>
        <v>935776227</v>
      </c>
      <c r="T50" s="67">
        <f t="shared" si="40"/>
        <v>739363224</v>
      </c>
      <c r="U50" s="67">
        <f t="shared" si="40"/>
        <v>2351416909</v>
      </c>
      <c r="V50" s="67">
        <f t="shared" si="40"/>
        <v>192234100</v>
      </c>
      <c r="W50" s="68">
        <f t="shared" si="5"/>
        <v>0.92442591404251873</v>
      </c>
      <c r="X50" s="230">
        <f t="shared" si="6"/>
        <v>0</v>
      </c>
    </row>
    <row r="51" spans="1:24" x14ac:dyDescent="0.25">
      <c r="A51" s="69" t="s">
        <v>979</v>
      </c>
      <c r="B51" s="69" t="s">
        <v>483</v>
      </c>
      <c r="C51" s="70">
        <f>+C52+C53</f>
        <v>2543651009</v>
      </c>
      <c r="D51" s="70">
        <f t="shared" ref="D51:J51" si="41">+D52+D53</f>
        <v>0</v>
      </c>
      <c r="E51" s="70">
        <f t="shared" si="41"/>
        <v>0</v>
      </c>
      <c r="F51" s="70">
        <f t="shared" si="41"/>
        <v>2543651009</v>
      </c>
      <c r="G51" s="70">
        <f t="shared" si="41"/>
        <v>2351416909</v>
      </c>
      <c r="H51" s="70">
        <f t="shared" si="41"/>
        <v>739363224</v>
      </c>
      <c r="I51" s="70">
        <f t="shared" si="41"/>
        <v>2351416909</v>
      </c>
      <c r="J51" s="70">
        <f t="shared" si="41"/>
        <v>192234100</v>
      </c>
      <c r="K51" s="71">
        <f t="shared" si="3"/>
        <v>0.92442591404251873</v>
      </c>
      <c r="M51" s="69" t="s">
        <v>979</v>
      </c>
      <c r="N51" s="69" t="s">
        <v>483</v>
      </c>
      <c r="O51" s="70">
        <f>+O52+O53</f>
        <v>2543651009</v>
      </c>
      <c r="P51" s="70">
        <f t="shared" ref="P51:V51" si="42">+P52+P53</f>
        <v>0</v>
      </c>
      <c r="Q51" s="70">
        <f t="shared" si="42"/>
        <v>0</v>
      </c>
      <c r="R51" s="70">
        <f t="shared" si="42"/>
        <v>2543651009</v>
      </c>
      <c r="S51" s="70">
        <f t="shared" si="42"/>
        <v>935776227</v>
      </c>
      <c r="T51" s="70">
        <f t="shared" si="42"/>
        <v>739363224</v>
      </c>
      <c r="U51" s="70">
        <f t="shared" si="42"/>
        <v>2351416909</v>
      </c>
      <c r="V51" s="70">
        <f t="shared" si="42"/>
        <v>192234100</v>
      </c>
      <c r="W51" s="71">
        <f t="shared" si="5"/>
        <v>0.92442591404251873</v>
      </c>
      <c r="X51" s="230">
        <f t="shared" si="6"/>
        <v>0</v>
      </c>
    </row>
    <row r="52" spans="1:24" x14ac:dyDescent="0.25">
      <c r="A52" s="82" t="s">
        <v>980</v>
      </c>
      <c r="B52" s="84" t="s">
        <v>981</v>
      </c>
      <c r="C52" s="96"/>
      <c r="D52" s="74"/>
      <c r="E52" s="85"/>
      <c r="F52" s="86">
        <f>+C52+D52-E52</f>
        <v>0</v>
      </c>
      <c r="G52" s="95">
        <v>2351416909</v>
      </c>
      <c r="H52" s="74">
        <v>739363224</v>
      </c>
      <c r="I52" s="95">
        <v>2351416909</v>
      </c>
      <c r="J52" s="75">
        <f>+F52-I52</f>
        <v>-2351416909</v>
      </c>
      <c r="K52" s="87" t="e">
        <f t="shared" si="3"/>
        <v>#DIV/0!</v>
      </c>
      <c r="M52" s="82" t="s">
        <v>980</v>
      </c>
      <c r="N52" s="84" t="s">
        <v>981</v>
      </c>
      <c r="O52" s="96"/>
      <c r="P52" s="74"/>
      <c r="Q52" s="85"/>
      <c r="R52" s="86">
        <f>+O52+P52-Q52</f>
        <v>0</v>
      </c>
      <c r="S52" s="95">
        <v>935776227</v>
      </c>
      <c r="T52" s="74">
        <v>739363224</v>
      </c>
      <c r="U52" s="95">
        <f>1612053685+T52</f>
        <v>2351416909</v>
      </c>
      <c r="V52" s="75">
        <f>+R52-U52</f>
        <v>-2351416909</v>
      </c>
      <c r="W52" s="87" t="e">
        <f t="shared" si="5"/>
        <v>#DIV/0!</v>
      </c>
      <c r="X52" s="230">
        <f t="shared" si="6"/>
        <v>0</v>
      </c>
    </row>
    <row r="53" spans="1:24" x14ac:dyDescent="0.25">
      <c r="A53" s="84" t="s">
        <v>982</v>
      </c>
      <c r="B53" s="84" t="s">
        <v>489</v>
      </c>
      <c r="C53" s="96">
        <v>2543651009</v>
      </c>
      <c r="D53" s="74"/>
      <c r="E53" s="85"/>
      <c r="F53" s="86">
        <f>+C53+D53-E53</f>
        <v>2543651009</v>
      </c>
      <c r="G53" s="95">
        <v>0</v>
      </c>
      <c r="H53" s="74"/>
      <c r="I53" s="95">
        <v>0</v>
      </c>
      <c r="J53" s="75">
        <f>+F53-I53</f>
        <v>2543651009</v>
      </c>
      <c r="K53" s="87">
        <f t="shared" si="3"/>
        <v>0</v>
      </c>
      <c r="M53" s="84" t="s">
        <v>982</v>
      </c>
      <c r="N53" s="84" t="s">
        <v>489</v>
      </c>
      <c r="O53" s="96">
        <v>2543651009</v>
      </c>
      <c r="P53" s="74"/>
      <c r="Q53" s="85"/>
      <c r="R53" s="86">
        <f>+O53+P53-Q53</f>
        <v>2543651009</v>
      </c>
      <c r="S53" s="95">
        <v>0</v>
      </c>
      <c r="T53" s="74"/>
      <c r="U53" s="95">
        <v>0</v>
      </c>
      <c r="V53" s="75">
        <f>+R53-U53</f>
        <v>2543651009</v>
      </c>
      <c r="W53" s="87">
        <f t="shared" si="5"/>
        <v>0</v>
      </c>
      <c r="X53" s="230">
        <f t="shared" si="6"/>
        <v>0</v>
      </c>
    </row>
    <row r="54" spans="1:24" x14ac:dyDescent="0.25">
      <c r="A54" s="69" t="s">
        <v>983</v>
      </c>
      <c r="B54" s="69" t="s">
        <v>756</v>
      </c>
      <c r="C54" s="70">
        <f>+C55</f>
        <v>0</v>
      </c>
      <c r="D54" s="70">
        <f t="shared" ref="D54:J54" si="43">+D55</f>
        <v>0</v>
      </c>
      <c r="E54" s="70">
        <f t="shared" si="43"/>
        <v>0</v>
      </c>
      <c r="F54" s="70">
        <f t="shared" si="43"/>
        <v>0</v>
      </c>
      <c r="G54" s="70">
        <f t="shared" si="43"/>
        <v>0</v>
      </c>
      <c r="H54" s="70">
        <f t="shared" si="43"/>
        <v>0</v>
      </c>
      <c r="I54" s="70">
        <f t="shared" si="43"/>
        <v>0</v>
      </c>
      <c r="J54" s="70">
        <f t="shared" si="43"/>
        <v>0</v>
      </c>
      <c r="K54" s="71" t="e">
        <f t="shared" si="3"/>
        <v>#DIV/0!</v>
      </c>
      <c r="M54" s="69" t="s">
        <v>983</v>
      </c>
      <c r="N54" s="69" t="s">
        <v>756</v>
      </c>
      <c r="O54" s="70">
        <f>+O55</f>
        <v>0</v>
      </c>
      <c r="P54" s="70">
        <f t="shared" ref="P54:V54" si="44">+P55</f>
        <v>0</v>
      </c>
      <c r="Q54" s="70">
        <f t="shared" si="44"/>
        <v>0</v>
      </c>
      <c r="R54" s="70">
        <f t="shared" si="44"/>
        <v>0</v>
      </c>
      <c r="S54" s="70">
        <f t="shared" si="44"/>
        <v>0</v>
      </c>
      <c r="T54" s="70">
        <f t="shared" si="44"/>
        <v>0</v>
      </c>
      <c r="U54" s="70">
        <f t="shared" si="44"/>
        <v>0</v>
      </c>
      <c r="V54" s="70">
        <f t="shared" si="44"/>
        <v>0</v>
      </c>
      <c r="W54" s="71" t="e">
        <f t="shared" si="5"/>
        <v>#DIV/0!</v>
      </c>
      <c r="X54" s="230">
        <f t="shared" si="6"/>
        <v>0</v>
      </c>
    </row>
    <row r="55" spans="1:24" x14ac:dyDescent="0.25">
      <c r="A55" s="84" t="s">
        <v>984</v>
      </c>
      <c r="B55" s="84" t="s">
        <v>757</v>
      </c>
      <c r="C55" s="73"/>
      <c r="D55" s="74"/>
      <c r="E55" s="85"/>
      <c r="F55" s="86">
        <f>+C55+D55-E55</f>
        <v>0</v>
      </c>
      <c r="G55" s="86">
        <v>0</v>
      </c>
      <c r="H55" s="74"/>
      <c r="I55" s="95">
        <v>0</v>
      </c>
      <c r="J55" s="75">
        <f>+F55-I55</f>
        <v>0</v>
      </c>
      <c r="K55" s="87" t="e">
        <f t="shared" si="3"/>
        <v>#DIV/0!</v>
      </c>
      <c r="M55" s="84" t="s">
        <v>984</v>
      </c>
      <c r="N55" s="84" t="s">
        <v>757</v>
      </c>
      <c r="O55" s="73"/>
      <c r="P55" s="74"/>
      <c r="Q55" s="85"/>
      <c r="R55" s="86">
        <f>+O55+P55-Q55</f>
        <v>0</v>
      </c>
      <c r="S55" s="86">
        <v>0</v>
      </c>
      <c r="T55" s="74"/>
      <c r="U55" s="95">
        <v>0</v>
      </c>
      <c r="V55" s="75">
        <f>+R55-U55</f>
        <v>0</v>
      </c>
      <c r="W55" s="87" t="e">
        <f t="shared" si="5"/>
        <v>#DIV/0!</v>
      </c>
      <c r="X55" s="230">
        <f t="shared" si="6"/>
        <v>0</v>
      </c>
    </row>
    <row r="56" spans="1:24" x14ac:dyDescent="0.25">
      <c r="A56" s="66" t="s">
        <v>985</v>
      </c>
      <c r="B56" s="66" t="s">
        <v>801</v>
      </c>
      <c r="C56" s="67">
        <f>+C57+C70+C75</f>
        <v>530370363</v>
      </c>
      <c r="D56" s="67">
        <f t="shared" ref="D56:J56" si="45">+D57+D70+D75</f>
        <v>0</v>
      </c>
      <c r="E56" s="67">
        <f t="shared" si="45"/>
        <v>0</v>
      </c>
      <c r="F56" s="67">
        <f t="shared" si="45"/>
        <v>530370363</v>
      </c>
      <c r="G56" s="67">
        <f t="shared" si="45"/>
        <v>537209330</v>
      </c>
      <c r="H56" s="67">
        <f t="shared" si="45"/>
        <v>167448643</v>
      </c>
      <c r="I56" s="67">
        <f t="shared" si="45"/>
        <v>537209330</v>
      </c>
      <c r="J56" s="67">
        <f t="shared" si="45"/>
        <v>-6831217</v>
      </c>
      <c r="K56" s="68">
        <f t="shared" si="3"/>
        <v>1.0128947005283551</v>
      </c>
      <c r="M56" s="66" t="s">
        <v>985</v>
      </c>
      <c r="N56" s="66" t="s">
        <v>801</v>
      </c>
      <c r="O56" s="67">
        <f>+O57+O70+O75</f>
        <v>530370363</v>
      </c>
      <c r="P56" s="67">
        <f t="shared" ref="P56:V56" si="46">+P57+P70+P75</f>
        <v>0</v>
      </c>
      <c r="Q56" s="67">
        <f t="shared" si="46"/>
        <v>0</v>
      </c>
      <c r="R56" s="67">
        <f t="shared" si="46"/>
        <v>530370363</v>
      </c>
      <c r="S56" s="67">
        <f t="shared" si="46"/>
        <v>300169293</v>
      </c>
      <c r="T56" s="67">
        <f t="shared" si="46"/>
        <v>167448643</v>
      </c>
      <c r="U56" s="67">
        <f t="shared" si="46"/>
        <v>537209330</v>
      </c>
      <c r="V56" s="67">
        <f t="shared" si="46"/>
        <v>-6831217</v>
      </c>
      <c r="W56" s="68">
        <f t="shared" si="5"/>
        <v>1.0128947005283551</v>
      </c>
      <c r="X56" s="230">
        <f t="shared" si="6"/>
        <v>0</v>
      </c>
    </row>
    <row r="57" spans="1:24" x14ac:dyDescent="0.25">
      <c r="A57" s="66" t="s">
        <v>986</v>
      </c>
      <c r="B57" s="66" t="s">
        <v>987</v>
      </c>
      <c r="C57" s="67">
        <f>+C58+C63+C67</f>
        <v>465600000</v>
      </c>
      <c r="D57" s="67">
        <f t="shared" ref="D57:J57" si="47">+D58+D63+D67</f>
        <v>0</v>
      </c>
      <c r="E57" s="67">
        <f t="shared" si="47"/>
        <v>0</v>
      </c>
      <c r="F57" s="67">
        <f t="shared" si="47"/>
        <v>465600000</v>
      </c>
      <c r="G57" s="67">
        <f t="shared" si="47"/>
        <v>472068365</v>
      </c>
      <c r="H57" s="67">
        <f t="shared" si="47"/>
        <v>148120414</v>
      </c>
      <c r="I57" s="67">
        <f t="shared" si="47"/>
        <v>472068365</v>
      </c>
      <c r="J57" s="67">
        <f t="shared" si="47"/>
        <v>-6460615</v>
      </c>
      <c r="K57" s="68">
        <f t="shared" si="3"/>
        <v>1.0138925365120275</v>
      </c>
      <c r="M57" s="66" t="s">
        <v>986</v>
      </c>
      <c r="N57" s="66" t="s">
        <v>987</v>
      </c>
      <c r="O57" s="67">
        <f>+O58+O63+O67</f>
        <v>465600000</v>
      </c>
      <c r="P57" s="67">
        <f t="shared" ref="P57:V57" si="48">+P58+P63+P67</f>
        <v>0</v>
      </c>
      <c r="Q57" s="67">
        <f t="shared" si="48"/>
        <v>0</v>
      </c>
      <c r="R57" s="67">
        <f t="shared" si="48"/>
        <v>465600000</v>
      </c>
      <c r="S57" s="67">
        <f t="shared" si="48"/>
        <v>260553350</v>
      </c>
      <c r="T57" s="67">
        <f t="shared" si="48"/>
        <v>148120414</v>
      </c>
      <c r="U57" s="67">
        <f t="shared" si="48"/>
        <v>472068365</v>
      </c>
      <c r="V57" s="67">
        <f t="shared" si="48"/>
        <v>-6460615</v>
      </c>
      <c r="W57" s="68">
        <f t="shared" si="5"/>
        <v>1.0138925365120275</v>
      </c>
      <c r="X57" s="230">
        <f t="shared" si="6"/>
        <v>0</v>
      </c>
    </row>
    <row r="58" spans="1:24" x14ac:dyDescent="0.25">
      <c r="A58" s="69" t="s">
        <v>988</v>
      </c>
      <c r="B58" s="69" t="s">
        <v>198</v>
      </c>
      <c r="C58" s="70">
        <f>SUM(C59:C62)</f>
        <v>351600000</v>
      </c>
      <c r="D58" s="70">
        <f t="shared" ref="D58:J58" si="49">SUM(D59:D62)</f>
        <v>0</v>
      </c>
      <c r="E58" s="70">
        <f t="shared" si="49"/>
        <v>0</v>
      </c>
      <c r="F58" s="70">
        <f t="shared" si="49"/>
        <v>351600000</v>
      </c>
      <c r="G58" s="70">
        <f t="shared" si="49"/>
        <v>318100345</v>
      </c>
      <c r="H58" s="70">
        <f t="shared" si="49"/>
        <v>101683039</v>
      </c>
      <c r="I58" s="70">
        <f t="shared" si="49"/>
        <v>318100345</v>
      </c>
      <c r="J58" s="70">
        <f t="shared" si="49"/>
        <v>33499655</v>
      </c>
      <c r="K58" s="71">
        <f t="shared" si="3"/>
        <v>0.90472225540386808</v>
      </c>
      <c r="M58" s="69" t="s">
        <v>988</v>
      </c>
      <c r="N58" s="69" t="s">
        <v>198</v>
      </c>
      <c r="O58" s="70">
        <f>SUM(O59:O62)</f>
        <v>351600000</v>
      </c>
      <c r="P58" s="70">
        <f t="shared" ref="P58:V58" si="50">SUM(P59:P62)</f>
        <v>0</v>
      </c>
      <c r="Q58" s="70">
        <f t="shared" si="50"/>
        <v>0</v>
      </c>
      <c r="R58" s="70">
        <f t="shared" si="50"/>
        <v>351600000</v>
      </c>
      <c r="S58" s="70">
        <f t="shared" si="50"/>
        <v>167264250</v>
      </c>
      <c r="T58" s="70">
        <f t="shared" si="50"/>
        <v>101683039</v>
      </c>
      <c r="U58" s="70">
        <f t="shared" si="50"/>
        <v>318100345</v>
      </c>
      <c r="V58" s="70">
        <f t="shared" si="50"/>
        <v>33499655</v>
      </c>
      <c r="W58" s="71">
        <f t="shared" si="5"/>
        <v>0.90472225540386808</v>
      </c>
      <c r="X58" s="230">
        <f t="shared" si="6"/>
        <v>0</v>
      </c>
    </row>
    <row r="59" spans="1:24" x14ac:dyDescent="0.25">
      <c r="A59" s="84" t="s">
        <v>989</v>
      </c>
      <c r="B59" s="84" t="s">
        <v>732</v>
      </c>
      <c r="C59" s="73">
        <v>300000000</v>
      </c>
      <c r="D59" s="74"/>
      <c r="E59" s="85"/>
      <c r="F59" s="86">
        <f>+C59+D59-E59</f>
        <v>300000000</v>
      </c>
      <c r="G59" s="95">
        <v>229429183</v>
      </c>
      <c r="H59" s="74">
        <v>101575039</v>
      </c>
      <c r="I59" s="95">
        <v>229429183</v>
      </c>
      <c r="J59" s="75">
        <f>+F59-I59</f>
        <v>70570817</v>
      </c>
      <c r="K59" s="87">
        <f t="shared" si="3"/>
        <v>0.76476394333333331</v>
      </c>
      <c r="M59" s="84" t="s">
        <v>989</v>
      </c>
      <c r="N59" s="84" t="s">
        <v>732</v>
      </c>
      <c r="O59" s="73">
        <v>300000000</v>
      </c>
      <c r="P59" s="74"/>
      <c r="Q59" s="85"/>
      <c r="R59" s="86">
        <f>+O59+P59-Q59</f>
        <v>300000000</v>
      </c>
      <c r="S59" s="95">
        <v>103277616</v>
      </c>
      <c r="T59" s="74">
        <v>101575039</v>
      </c>
      <c r="U59" s="95">
        <f>127854144+T59</f>
        <v>229429183</v>
      </c>
      <c r="V59" s="75">
        <f>+R59-U59</f>
        <v>70570817</v>
      </c>
      <c r="W59" s="87">
        <f t="shared" si="5"/>
        <v>0.76476394333333331</v>
      </c>
      <c r="X59" s="230">
        <f t="shared" si="6"/>
        <v>0</v>
      </c>
    </row>
    <row r="60" spans="1:24" x14ac:dyDescent="0.25">
      <c r="A60" s="84" t="s">
        <v>990</v>
      </c>
      <c r="B60" s="84" t="s">
        <v>200</v>
      </c>
      <c r="C60" s="73">
        <v>250000</v>
      </c>
      <c r="D60" s="74"/>
      <c r="E60" s="85"/>
      <c r="F60" s="86">
        <f>+C60+D60-E60</f>
        <v>250000</v>
      </c>
      <c r="G60" s="95">
        <v>24034528</v>
      </c>
      <c r="H60" s="74"/>
      <c r="I60" s="95">
        <v>24034528</v>
      </c>
      <c r="J60" s="75">
        <f>+F60-I60</f>
        <v>-23784528</v>
      </c>
      <c r="K60" s="87">
        <f t="shared" si="3"/>
        <v>96.138112000000007</v>
      </c>
      <c r="M60" s="84" t="s">
        <v>990</v>
      </c>
      <c r="N60" s="84" t="s">
        <v>200</v>
      </c>
      <c r="O60" s="73">
        <v>250000</v>
      </c>
      <c r="P60" s="74"/>
      <c r="Q60" s="85"/>
      <c r="R60" s="86">
        <f>+O60+P60-Q60</f>
        <v>250000</v>
      </c>
      <c r="S60" s="95">
        <v>0</v>
      </c>
      <c r="T60" s="74"/>
      <c r="U60" s="95">
        <f>24034528+T60</f>
        <v>24034528</v>
      </c>
      <c r="V60" s="75">
        <f>+R60-U60</f>
        <v>-23784528</v>
      </c>
      <c r="W60" s="87">
        <f t="shared" si="5"/>
        <v>96.138112000000007</v>
      </c>
      <c r="X60" s="230">
        <f t="shared" si="6"/>
        <v>0</v>
      </c>
    </row>
    <row r="61" spans="1:24" x14ac:dyDescent="0.25">
      <c r="A61" s="84" t="s">
        <v>991</v>
      </c>
      <c r="B61" s="84" t="s">
        <v>202</v>
      </c>
      <c r="C61" s="73">
        <v>31350000</v>
      </c>
      <c r="D61" s="74"/>
      <c r="E61" s="85"/>
      <c r="F61" s="86">
        <f>+C61+D61-E61</f>
        <v>31350000</v>
      </c>
      <c r="G61" s="95">
        <v>55285134</v>
      </c>
      <c r="H61" s="74">
        <v>108000</v>
      </c>
      <c r="I61" s="95">
        <v>55285134</v>
      </c>
      <c r="J61" s="75">
        <f>+F61-I61</f>
        <v>-23935134</v>
      </c>
      <c r="K61" s="87">
        <f t="shared" si="3"/>
        <v>1.763481148325359</v>
      </c>
      <c r="M61" s="84" t="s">
        <v>991</v>
      </c>
      <c r="N61" s="84" t="s">
        <v>202</v>
      </c>
      <c r="O61" s="73">
        <v>31350000</v>
      </c>
      <c r="P61" s="74"/>
      <c r="Q61" s="85"/>
      <c r="R61" s="86">
        <f>+O61+P61-Q61</f>
        <v>31350000</v>
      </c>
      <c r="S61" s="95">
        <v>54722634</v>
      </c>
      <c r="T61" s="74">
        <v>108000</v>
      </c>
      <c r="U61" s="95">
        <f>55177134+T61</f>
        <v>55285134</v>
      </c>
      <c r="V61" s="75">
        <f>+R61-U61</f>
        <v>-23935134</v>
      </c>
      <c r="W61" s="87">
        <f t="shared" si="5"/>
        <v>1.763481148325359</v>
      </c>
      <c r="X61" s="230">
        <f t="shared" si="6"/>
        <v>0</v>
      </c>
    </row>
    <row r="62" spans="1:24" x14ac:dyDescent="0.25">
      <c r="A62" s="84" t="s">
        <v>992</v>
      </c>
      <c r="B62" s="84" t="s">
        <v>993</v>
      </c>
      <c r="C62" s="73">
        <v>20000000</v>
      </c>
      <c r="D62" s="81"/>
      <c r="E62" s="81"/>
      <c r="F62" s="86">
        <f>+C62+D62-E62</f>
        <v>20000000</v>
      </c>
      <c r="G62" s="95">
        <v>9351500</v>
      </c>
      <c r="H62" s="74"/>
      <c r="I62" s="95">
        <v>9351500</v>
      </c>
      <c r="J62" s="75">
        <f>+F62-I62</f>
        <v>10648500</v>
      </c>
      <c r="K62" s="87">
        <f t="shared" si="3"/>
        <v>0.46757500000000002</v>
      </c>
      <c r="M62" s="84" t="s">
        <v>992</v>
      </c>
      <c r="N62" s="84" t="s">
        <v>993</v>
      </c>
      <c r="O62" s="73">
        <v>20000000</v>
      </c>
      <c r="P62" s="81"/>
      <c r="Q62" s="81"/>
      <c r="R62" s="86">
        <f>+O62+P62-Q62</f>
        <v>20000000</v>
      </c>
      <c r="S62" s="95">
        <v>9264000</v>
      </c>
      <c r="T62" s="74"/>
      <c r="U62" s="95">
        <f>9351500+T62</f>
        <v>9351500</v>
      </c>
      <c r="V62" s="75">
        <f>+R62-U62</f>
        <v>10648500</v>
      </c>
      <c r="W62" s="87">
        <f t="shared" si="5"/>
        <v>0.46757500000000002</v>
      </c>
      <c r="X62" s="230">
        <f t="shared" si="6"/>
        <v>0</v>
      </c>
    </row>
    <row r="63" spans="1:24" s="181" customFormat="1" x14ac:dyDescent="0.25">
      <c r="A63" s="69" t="s">
        <v>994</v>
      </c>
      <c r="B63" s="69" t="s">
        <v>995</v>
      </c>
      <c r="C63" s="70">
        <f>SUM(C64:C66)</f>
        <v>114000000</v>
      </c>
      <c r="D63" s="70">
        <f t="shared" ref="D63:J63" si="51">SUM(D64:D66)</f>
        <v>0</v>
      </c>
      <c r="E63" s="70">
        <f t="shared" si="51"/>
        <v>0</v>
      </c>
      <c r="F63" s="70">
        <f t="shared" si="51"/>
        <v>114000000</v>
      </c>
      <c r="G63" s="70">
        <f t="shared" si="51"/>
        <v>153900420</v>
      </c>
      <c r="H63" s="70">
        <f t="shared" si="51"/>
        <v>46437375</v>
      </c>
      <c r="I63" s="70">
        <f t="shared" si="51"/>
        <v>153900420</v>
      </c>
      <c r="J63" s="70">
        <f t="shared" si="51"/>
        <v>-39900420</v>
      </c>
      <c r="K63" s="71">
        <f t="shared" si="3"/>
        <v>1.3500036842105263</v>
      </c>
      <c r="L63" s="55"/>
      <c r="M63" s="69" t="s">
        <v>994</v>
      </c>
      <c r="N63" s="69" t="s">
        <v>995</v>
      </c>
      <c r="O63" s="70">
        <f>SUM(O64:O66)</f>
        <v>114000000</v>
      </c>
      <c r="P63" s="70">
        <f t="shared" ref="P63:V63" si="52">SUM(P64:P66)</f>
        <v>0</v>
      </c>
      <c r="Q63" s="70">
        <f t="shared" si="52"/>
        <v>0</v>
      </c>
      <c r="R63" s="70">
        <f t="shared" si="52"/>
        <v>114000000</v>
      </c>
      <c r="S63" s="70">
        <f t="shared" si="52"/>
        <v>93229250</v>
      </c>
      <c r="T63" s="70">
        <f t="shared" si="52"/>
        <v>46437375</v>
      </c>
      <c r="U63" s="70">
        <f t="shared" si="52"/>
        <v>153900420</v>
      </c>
      <c r="V63" s="70">
        <f t="shared" si="52"/>
        <v>-39900420</v>
      </c>
      <c r="W63" s="71">
        <f t="shared" si="5"/>
        <v>1.3500036842105263</v>
      </c>
      <c r="X63" s="230">
        <f t="shared" si="6"/>
        <v>0</v>
      </c>
    </row>
    <row r="64" spans="1:24" x14ac:dyDescent="0.25">
      <c r="A64" s="84" t="s">
        <v>996</v>
      </c>
      <c r="B64" s="84" t="s">
        <v>208</v>
      </c>
      <c r="C64" s="73">
        <v>48000000</v>
      </c>
      <c r="D64" s="74"/>
      <c r="E64" s="85"/>
      <c r="F64" s="86">
        <f>+C64+D64-E64</f>
        <v>48000000</v>
      </c>
      <c r="G64" s="95">
        <v>72611020</v>
      </c>
      <c r="H64" s="74">
        <v>35896300</v>
      </c>
      <c r="I64" s="95">
        <v>72611020</v>
      </c>
      <c r="J64" s="75">
        <f>+F64-I64</f>
        <v>-24611020</v>
      </c>
      <c r="K64" s="87">
        <f t="shared" si="3"/>
        <v>1.5127295833333334</v>
      </c>
      <c r="M64" s="84" t="s">
        <v>996</v>
      </c>
      <c r="N64" s="84" t="s">
        <v>208</v>
      </c>
      <c r="O64" s="73">
        <v>48000000</v>
      </c>
      <c r="P64" s="74"/>
      <c r="Q64" s="85"/>
      <c r="R64" s="86">
        <f>+O64+P64-Q64</f>
        <v>48000000</v>
      </c>
      <c r="S64" s="95">
        <v>26390300</v>
      </c>
      <c r="T64" s="74">
        <v>35896300</v>
      </c>
      <c r="U64" s="95">
        <f>36714720+T64</f>
        <v>72611020</v>
      </c>
      <c r="V64" s="75">
        <f>+R64-U64</f>
        <v>-24611020</v>
      </c>
      <c r="W64" s="87">
        <f t="shared" si="5"/>
        <v>1.5127295833333334</v>
      </c>
      <c r="X64" s="230">
        <f t="shared" si="6"/>
        <v>0</v>
      </c>
    </row>
    <row r="65" spans="1:24" x14ac:dyDescent="0.25">
      <c r="A65" s="84" t="s">
        <v>997</v>
      </c>
      <c r="B65" s="84" t="s">
        <v>220</v>
      </c>
      <c r="C65" s="73">
        <v>12000000</v>
      </c>
      <c r="D65" s="74"/>
      <c r="E65" s="85"/>
      <c r="F65" s="86">
        <f>+C65+D65-E65</f>
        <v>12000000</v>
      </c>
      <c r="G65" s="95">
        <v>39976400</v>
      </c>
      <c r="H65" s="74">
        <v>1850075</v>
      </c>
      <c r="I65" s="95">
        <v>39976400</v>
      </c>
      <c r="J65" s="75">
        <f>+F65-I65</f>
        <v>-27976400</v>
      </c>
      <c r="K65" s="87">
        <f t="shared" si="3"/>
        <v>3.3313666666666668</v>
      </c>
      <c r="M65" s="84" t="s">
        <v>997</v>
      </c>
      <c r="N65" s="84" t="s">
        <v>220</v>
      </c>
      <c r="O65" s="73">
        <v>12000000</v>
      </c>
      <c r="P65" s="74"/>
      <c r="Q65" s="85"/>
      <c r="R65" s="86">
        <f>+O65+P65-Q65</f>
        <v>12000000</v>
      </c>
      <c r="S65" s="95">
        <v>35765950</v>
      </c>
      <c r="T65" s="74">
        <v>1850075</v>
      </c>
      <c r="U65" s="95">
        <f>38126325+T65</f>
        <v>39976400</v>
      </c>
      <c r="V65" s="75">
        <f>+R65-U65</f>
        <v>-27976400</v>
      </c>
      <c r="W65" s="87">
        <f t="shared" si="5"/>
        <v>3.3313666666666668</v>
      </c>
      <c r="X65" s="230">
        <f t="shared" si="6"/>
        <v>0</v>
      </c>
    </row>
    <row r="66" spans="1:24" x14ac:dyDescent="0.25">
      <c r="A66" s="84" t="s">
        <v>998</v>
      </c>
      <c r="B66" s="84" t="s">
        <v>999</v>
      </c>
      <c r="C66" s="73">
        <v>54000000</v>
      </c>
      <c r="D66" s="74"/>
      <c r="E66" s="85"/>
      <c r="F66" s="86">
        <f>+C66+D66-E66</f>
        <v>54000000</v>
      </c>
      <c r="G66" s="95">
        <v>41313000</v>
      </c>
      <c r="H66" s="74">
        <v>8691000</v>
      </c>
      <c r="I66" s="95">
        <v>41313000</v>
      </c>
      <c r="J66" s="75">
        <f>+F66-I66</f>
        <v>12687000</v>
      </c>
      <c r="K66" s="87">
        <f t="shared" si="3"/>
        <v>0.7650555555555556</v>
      </c>
      <c r="M66" s="84" t="s">
        <v>998</v>
      </c>
      <c r="N66" s="84" t="s">
        <v>999</v>
      </c>
      <c r="O66" s="73">
        <v>54000000</v>
      </c>
      <c r="P66" s="74"/>
      <c r="Q66" s="85"/>
      <c r="R66" s="86">
        <f>+O66+P66-Q66</f>
        <v>54000000</v>
      </c>
      <c r="S66" s="95">
        <v>31073000</v>
      </c>
      <c r="T66" s="74">
        <v>8691000</v>
      </c>
      <c r="U66" s="95">
        <f>32622000+T66</f>
        <v>41313000</v>
      </c>
      <c r="V66" s="75">
        <f>+R66-U66</f>
        <v>12687000</v>
      </c>
      <c r="W66" s="87">
        <f t="shared" si="5"/>
        <v>0.7650555555555556</v>
      </c>
      <c r="X66" s="230">
        <f t="shared" si="6"/>
        <v>0</v>
      </c>
    </row>
    <row r="67" spans="1:24" x14ac:dyDescent="0.25">
      <c r="A67" s="69" t="s">
        <v>1000</v>
      </c>
      <c r="B67" s="69" t="s">
        <v>802</v>
      </c>
      <c r="C67" s="70">
        <f>+C68</f>
        <v>0</v>
      </c>
      <c r="D67" s="70">
        <f t="shared" ref="D67:J67" si="53">+D68</f>
        <v>0</v>
      </c>
      <c r="E67" s="70">
        <f t="shared" si="53"/>
        <v>0</v>
      </c>
      <c r="F67" s="70">
        <f t="shared" si="53"/>
        <v>0</v>
      </c>
      <c r="G67" s="70">
        <f t="shared" si="53"/>
        <v>67600</v>
      </c>
      <c r="H67" s="70">
        <f t="shared" si="53"/>
        <v>0</v>
      </c>
      <c r="I67" s="70">
        <f t="shared" si="53"/>
        <v>67600</v>
      </c>
      <c r="J67" s="70">
        <f t="shared" si="53"/>
        <v>-59850</v>
      </c>
      <c r="K67" s="71" t="e">
        <f t="shared" si="3"/>
        <v>#DIV/0!</v>
      </c>
      <c r="M67" s="69" t="s">
        <v>1000</v>
      </c>
      <c r="N67" s="69" t="s">
        <v>802</v>
      </c>
      <c r="O67" s="70">
        <f>+O68</f>
        <v>0</v>
      </c>
      <c r="P67" s="70">
        <f t="shared" ref="P67:V68" si="54">+P68</f>
        <v>0</v>
      </c>
      <c r="Q67" s="70">
        <f t="shared" si="54"/>
        <v>0</v>
      </c>
      <c r="R67" s="70">
        <f t="shared" si="54"/>
        <v>0</v>
      </c>
      <c r="S67" s="70">
        <f t="shared" si="54"/>
        <v>59850</v>
      </c>
      <c r="T67" s="70">
        <f t="shared" si="54"/>
        <v>0</v>
      </c>
      <c r="U67" s="70">
        <f t="shared" si="54"/>
        <v>67600</v>
      </c>
      <c r="V67" s="70">
        <f t="shared" si="54"/>
        <v>-59850</v>
      </c>
      <c r="W67" s="71" t="e">
        <f t="shared" si="5"/>
        <v>#DIV/0!</v>
      </c>
      <c r="X67" s="230">
        <f t="shared" si="6"/>
        <v>0</v>
      </c>
    </row>
    <row r="68" spans="1:24" x14ac:dyDescent="0.25">
      <c r="A68" s="82" t="s">
        <v>1001</v>
      </c>
      <c r="B68" s="84" t="s">
        <v>805</v>
      </c>
      <c r="C68" s="73">
        <f>+C69</f>
        <v>0</v>
      </c>
      <c r="D68" s="73">
        <v>0</v>
      </c>
      <c r="E68" s="73">
        <f t="shared" ref="E68:J68" si="55">+E69</f>
        <v>0</v>
      </c>
      <c r="F68" s="73">
        <f t="shared" si="55"/>
        <v>0</v>
      </c>
      <c r="G68" s="73">
        <v>67600</v>
      </c>
      <c r="H68" s="73"/>
      <c r="I68" s="73">
        <v>67600</v>
      </c>
      <c r="J68" s="73">
        <f t="shared" si="55"/>
        <v>-59850</v>
      </c>
      <c r="K68" s="87" t="e">
        <f t="shared" si="3"/>
        <v>#DIV/0!</v>
      </c>
      <c r="M68" s="82" t="s">
        <v>1001</v>
      </c>
      <c r="N68" s="84" t="s">
        <v>805</v>
      </c>
      <c r="O68" s="73">
        <f>+O69</f>
        <v>0</v>
      </c>
      <c r="P68" s="73">
        <v>0</v>
      </c>
      <c r="Q68" s="73">
        <f t="shared" si="54"/>
        <v>0</v>
      </c>
      <c r="R68" s="73">
        <f t="shared" si="54"/>
        <v>0</v>
      </c>
      <c r="S68" s="73">
        <f t="shared" si="54"/>
        <v>59850</v>
      </c>
      <c r="T68" s="73"/>
      <c r="U68" s="73">
        <v>67600</v>
      </c>
      <c r="V68" s="73">
        <f t="shared" si="54"/>
        <v>-59850</v>
      </c>
      <c r="W68" s="87" t="e">
        <f t="shared" si="5"/>
        <v>#DIV/0!</v>
      </c>
      <c r="X68" s="230">
        <f t="shared" si="6"/>
        <v>0</v>
      </c>
    </row>
    <row r="69" spans="1:24" x14ac:dyDescent="0.25">
      <c r="A69" s="82" t="s">
        <v>1002</v>
      </c>
      <c r="B69" s="84" t="s">
        <v>742</v>
      </c>
      <c r="C69" s="73"/>
      <c r="D69" s="74"/>
      <c r="E69" s="85"/>
      <c r="F69" s="86">
        <f>+C69+D69-E69</f>
        <v>0</v>
      </c>
      <c r="G69" s="95">
        <v>59850</v>
      </c>
      <c r="H69" s="74"/>
      <c r="I69" s="95">
        <v>59850</v>
      </c>
      <c r="J69" s="75">
        <f>+F69-I69</f>
        <v>-59850</v>
      </c>
      <c r="K69" s="87" t="e">
        <f t="shared" si="3"/>
        <v>#DIV/0!</v>
      </c>
      <c r="M69" s="82" t="s">
        <v>1002</v>
      </c>
      <c r="N69" s="84" t="s">
        <v>742</v>
      </c>
      <c r="O69" s="73"/>
      <c r="P69" s="74"/>
      <c r="Q69" s="85"/>
      <c r="R69" s="86">
        <f>+O69+P69-Q69</f>
        <v>0</v>
      </c>
      <c r="S69" s="95">
        <v>59850</v>
      </c>
      <c r="T69" s="74"/>
      <c r="U69" s="95">
        <v>59850</v>
      </c>
      <c r="V69" s="75">
        <f>+R69-U69</f>
        <v>-59850</v>
      </c>
      <c r="W69" s="87" t="e">
        <f t="shared" si="5"/>
        <v>#DIV/0!</v>
      </c>
      <c r="X69" s="230">
        <f t="shared" si="6"/>
        <v>0</v>
      </c>
    </row>
    <row r="70" spans="1:24" x14ac:dyDescent="0.25">
      <c r="A70" s="66" t="s">
        <v>1003</v>
      </c>
      <c r="B70" s="66" t="s">
        <v>1004</v>
      </c>
      <c r="C70" s="67">
        <f>+C73+C71</f>
        <v>3600000</v>
      </c>
      <c r="D70" s="67">
        <f t="shared" ref="D70:J70" si="56">+D73+D71</f>
        <v>0</v>
      </c>
      <c r="E70" s="67">
        <f t="shared" si="56"/>
        <v>0</v>
      </c>
      <c r="F70" s="67">
        <f t="shared" si="56"/>
        <v>3600000</v>
      </c>
      <c r="G70" s="67">
        <f t="shared" si="56"/>
        <v>16011225</v>
      </c>
      <c r="H70" s="67">
        <f t="shared" si="56"/>
        <v>11858000</v>
      </c>
      <c r="I70" s="67">
        <f t="shared" si="56"/>
        <v>16011225</v>
      </c>
      <c r="J70" s="67">
        <f t="shared" si="56"/>
        <v>-12411225</v>
      </c>
      <c r="K70" s="68">
        <f t="shared" si="3"/>
        <v>4.4475625000000001</v>
      </c>
      <c r="M70" s="66" t="s">
        <v>1003</v>
      </c>
      <c r="N70" s="66" t="s">
        <v>1004</v>
      </c>
      <c r="O70" s="67">
        <f>+O73+O71</f>
        <v>3600000</v>
      </c>
      <c r="P70" s="67">
        <f t="shared" ref="P70:V70" si="57">+P73+P71</f>
        <v>0</v>
      </c>
      <c r="Q70" s="67">
        <f t="shared" si="57"/>
        <v>0</v>
      </c>
      <c r="R70" s="67">
        <f t="shared" si="57"/>
        <v>3600000</v>
      </c>
      <c r="S70" s="67">
        <f t="shared" si="57"/>
        <v>3804225</v>
      </c>
      <c r="T70" s="67">
        <f t="shared" si="57"/>
        <v>11858000</v>
      </c>
      <c r="U70" s="67">
        <f t="shared" si="57"/>
        <v>16011225</v>
      </c>
      <c r="V70" s="67">
        <f t="shared" si="57"/>
        <v>-12411225</v>
      </c>
      <c r="W70" s="68">
        <f t="shared" si="5"/>
        <v>4.4475625000000001</v>
      </c>
      <c r="X70" s="230">
        <f t="shared" si="6"/>
        <v>0</v>
      </c>
    </row>
    <row r="71" spans="1:24" x14ac:dyDescent="0.25">
      <c r="A71" s="66" t="s">
        <v>1005</v>
      </c>
      <c r="B71" s="66" t="s">
        <v>1006</v>
      </c>
      <c r="C71" s="67">
        <f>+C72</f>
        <v>0</v>
      </c>
      <c r="D71" s="67">
        <f t="shared" ref="D71:J71" si="58">+D72</f>
        <v>0</v>
      </c>
      <c r="E71" s="67">
        <f t="shared" si="58"/>
        <v>0</v>
      </c>
      <c r="F71" s="67">
        <f t="shared" si="58"/>
        <v>0</v>
      </c>
      <c r="G71" s="67">
        <f t="shared" si="58"/>
        <v>15137800</v>
      </c>
      <c r="H71" s="67">
        <f t="shared" si="58"/>
        <v>11636000</v>
      </c>
      <c r="I71" s="67">
        <f t="shared" si="58"/>
        <v>15137800</v>
      </c>
      <c r="J71" s="67">
        <f t="shared" si="58"/>
        <v>-15137800</v>
      </c>
      <c r="K71" s="68" t="e">
        <f t="shared" si="3"/>
        <v>#DIV/0!</v>
      </c>
      <c r="M71" s="66" t="s">
        <v>1005</v>
      </c>
      <c r="N71" s="66" t="s">
        <v>1006</v>
      </c>
      <c r="O71" s="67">
        <f>+O72</f>
        <v>0</v>
      </c>
      <c r="P71" s="67">
        <f t="shared" ref="P71:V71" si="59">+P72</f>
        <v>0</v>
      </c>
      <c r="Q71" s="67">
        <f t="shared" si="59"/>
        <v>0</v>
      </c>
      <c r="R71" s="67">
        <f t="shared" si="59"/>
        <v>0</v>
      </c>
      <c r="S71" s="67">
        <f t="shared" si="59"/>
        <v>3501800</v>
      </c>
      <c r="T71" s="67">
        <f t="shared" si="59"/>
        <v>11636000</v>
      </c>
      <c r="U71" s="67">
        <f t="shared" si="59"/>
        <v>15137800</v>
      </c>
      <c r="V71" s="67">
        <f t="shared" si="59"/>
        <v>-15137800</v>
      </c>
      <c r="W71" s="68" t="e">
        <f t="shared" si="5"/>
        <v>#DIV/0!</v>
      </c>
      <c r="X71" s="230">
        <f t="shared" si="6"/>
        <v>0</v>
      </c>
    </row>
    <row r="72" spans="1:24" x14ac:dyDescent="0.25">
      <c r="A72" s="84" t="s">
        <v>1007</v>
      </c>
      <c r="B72" s="84" t="s">
        <v>370</v>
      </c>
      <c r="C72" s="73"/>
      <c r="D72" s="74"/>
      <c r="E72" s="85"/>
      <c r="F72" s="86">
        <f>+C72+D72-E72</f>
        <v>0</v>
      </c>
      <c r="G72" s="95">
        <v>15137800</v>
      </c>
      <c r="H72" s="74">
        <v>11636000</v>
      </c>
      <c r="I72" s="95">
        <v>15137800</v>
      </c>
      <c r="J72" s="75">
        <f>+F72-I72</f>
        <v>-15137800</v>
      </c>
      <c r="K72" s="87" t="e">
        <f t="shared" si="3"/>
        <v>#DIV/0!</v>
      </c>
      <c r="M72" s="84" t="s">
        <v>1007</v>
      </c>
      <c r="N72" s="84" t="s">
        <v>370</v>
      </c>
      <c r="O72" s="73"/>
      <c r="P72" s="74"/>
      <c r="Q72" s="85"/>
      <c r="R72" s="86">
        <f>+O72+P72-Q72</f>
        <v>0</v>
      </c>
      <c r="S72" s="95">
        <v>3501800</v>
      </c>
      <c r="T72" s="74">
        <f>11016800+619200</f>
        <v>11636000</v>
      </c>
      <c r="U72" s="95">
        <f>3501800+T72</f>
        <v>15137800</v>
      </c>
      <c r="V72" s="75">
        <f>+R72-U72</f>
        <v>-15137800</v>
      </c>
      <c r="W72" s="87" t="e">
        <f t="shared" si="5"/>
        <v>#DIV/0!</v>
      </c>
      <c r="X72" s="230">
        <f t="shared" si="6"/>
        <v>0</v>
      </c>
    </row>
    <row r="73" spans="1:24" x14ac:dyDescent="0.25">
      <c r="A73" s="66" t="s">
        <v>1008</v>
      </c>
      <c r="B73" s="66" t="s">
        <v>380</v>
      </c>
      <c r="C73" s="67">
        <f>+C74</f>
        <v>3600000</v>
      </c>
      <c r="D73" s="67">
        <f t="shared" ref="D73:J73" si="60">+D74</f>
        <v>0</v>
      </c>
      <c r="E73" s="67">
        <f t="shared" si="60"/>
        <v>0</v>
      </c>
      <c r="F73" s="67">
        <f t="shared" si="60"/>
        <v>3600000</v>
      </c>
      <c r="G73" s="67">
        <f t="shared" si="60"/>
        <v>873425</v>
      </c>
      <c r="H73" s="67">
        <f t="shared" si="60"/>
        <v>222000</v>
      </c>
      <c r="I73" s="67">
        <f t="shared" si="60"/>
        <v>873425</v>
      </c>
      <c r="J73" s="67">
        <f t="shared" si="60"/>
        <v>2726575</v>
      </c>
      <c r="K73" s="68">
        <f t="shared" si="3"/>
        <v>0.24261805555555555</v>
      </c>
      <c r="M73" s="66" t="s">
        <v>1008</v>
      </c>
      <c r="N73" s="66" t="s">
        <v>380</v>
      </c>
      <c r="O73" s="67">
        <f>+O74</f>
        <v>3600000</v>
      </c>
      <c r="P73" s="67">
        <f t="shared" ref="P73:V73" si="61">+P74</f>
        <v>0</v>
      </c>
      <c r="Q73" s="67">
        <f t="shared" si="61"/>
        <v>0</v>
      </c>
      <c r="R73" s="67">
        <f t="shared" si="61"/>
        <v>3600000</v>
      </c>
      <c r="S73" s="67">
        <f t="shared" si="61"/>
        <v>302425</v>
      </c>
      <c r="T73" s="67">
        <f t="shared" si="61"/>
        <v>222000</v>
      </c>
      <c r="U73" s="67">
        <f t="shared" si="61"/>
        <v>873425</v>
      </c>
      <c r="V73" s="67">
        <f t="shared" si="61"/>
        <v>2726575</v>
      </c>
      <c r="W73" s="68">
        <f t="shared" si="5"/>
        <v>0.24261805555555555</v>
      </c>
      <c r="X73" s="230">
        <f t="shared" ref="X73:X86" si="62">+I73-G73</f>
        <v>0</v>
      </c>
    </row>
    <row r="74" spans="1:24" x14ac:dyDescent="0.25">
      <c r="A74" s="84" t="s">
        <v>1009</v>
      </c>
      <c r="B74" s="84" t="s">
        <v>745</v>
      </c>
      <c r="C74" s="73">
        <v>3600000</v>
      </c>
      <c r="D74" s="74"/>
      <c r="E74" s="85"/>
      <c r="F74" s="86">
        <f>+C74+D74-E74</f>
        <v>3600000</v>
      </c>
      <c r="G74" s="95">
        <v>873425</v>
      </c>
      <c r="H74" s="74">
        <v>222000</v>
      </c>
      <c r="I74" s="95">
        <v>873425</v>
      </c>
      <c r="J74" s="75">
        <f>+F74-I74</f>
        <v>2726575</v>
      </c>
      <c r="K74" s="87">
        <f t="shared" si="3"/>
        <v>0.24261805555555555</v>
      </c>
      <c r="M74" s="84" t="s">
        <v>1009</v>
      </c>
      <c r="N74" s="84" t="s">
        <v>745</v>
      </c>
      <c r="O74" s="73">
        <v>3600000</v>
      </c>
      <c r="P74" s="74"/>
      <c r="Q74" s="85"/>
      <c r="R74" s="86">
        <f>+O74+P74-Q74</f>
        <v>3600000</v>
      </c>
      <c r="S74" s="95">
        <v>302425</v>
      </c>
      <c r="T74" s="74">
        <v>222000</v>
      </c>
      <c r="U74" s="95">
        <f>651425+T74</f>
        <v>873425</v>
      </c>
      <c r="V74" s="75">
        <f>+R74-U74</f>
        <v>2726575</v>
      </c>
      <c r="W74" s="87">
        <f t="shared" si="5"/>
        <v>0.24261805555555555</v>
      </c>
      <c r="X74" s="230">
        <f t="shared" si="62"/>
        <v>0</v>
      </c>
    </row>
    <row r="75" spans="1:24" x14ac:dyDescent="0.25">
      <c r="A75" s="66" t="s">
        <v>1010</v>
      </c>
      <c r="B75" s="66" t="s">
        <v>1011</v>
      </c>
      <c r="C75" s="67">
        <f>+C76</f>
        <v>61170363</v>
      </c>
      <c r="D75" s="67">
        <f t="shared" ref="D75:J75" si="63">+D76</f>
        <v>0</v>
      </c>
      <c r="E75" s="67">
        <f t="shared" si="63"/>
        <v>0</v>
      </c>
      <c r="F75" s="67">
        <f t="shared" si="63"/>
        <v>61170363</v>
      </c>
      <c r="G75" s="67">
        <f t="shared" si="63"/>
        <v>49129740</v>
      </c>
      <c r="H75" s="67">
        <f t="shared" si="63"/>
        <v>7470229</v>
      </c>
      <c r="I75" s="67">
        <f t="shared" si="63"/>
        <v>49129740</v>
      </c>
      <c r="J75" s="67">
        <f t="shared" si="63"/>
        <v>12040623</v>
      </c>
      <c r="K75" s="68">
        <f t="shared" si="3"/>
        <v>0.80316247265035845</v>
      </c>
      <c r="M75" s="66" t="s">
        <v>1010</v>
      </c>
      <c r="N75" s="66" t="s">
        <v>1011</v>
      </c>
      <c r="O75" s="67">
        <f>+O76</f>
        <v>61170363</v>
      </c>
      <c r="P75" s="67">
        <f t="shared" ref="P75:V75" si="64">+P76</f>
        <v>0</v>
      </c>
      <c r="Q75" s="67">
        <f t="shared" si="64"/>
        <v>0</v>
      </c>
      <c r="R75" s="67">
        <f t="shared" si="64"/>
        <v>61170363</v>
      </c>
      <c r="S75" s="67">
        <f t="shared" si="64"/>
        <v>35811718</v>
      </c>
      <c r="T75" s="67">
        <f t="shared" si="64"/>
        <v>7470229</v>
      </c>
      <c r="U75" s="67">
        <f t="shared" si="64"/>
        <v>49129740</v>
      </c>
      <c r="V75" s="67">
        <f t="shared" si="64"/>
        <v>12040623</v>
      </c>
      <c r="W75" s="68">
        <f t="shared" si="5"/>
        <v>0.80316247265035845</v>
      </c>
      <c r="X75" s="230">
        <f t="shared" si="62"/>
        <v>0</v>
      </c>
    </row>
    <row r="76" spans="1:24" x14ac:dyDescent="0.25">
      <c r="A76" s="69" t="s">
        <v>1012</v>
      </c>
      <c r="B76" s="69" t="s">
        <v>411</v>
      </c>
      <c r="C76" s="70">
        <f>C77</f>
        <v>61170363</v>
      </c>
      <c r="D76" s="70">
        <f t="shared" ref="D76:J76" si="65">D77</f>
        <v>0</v>
      </c>
      <c r="E76" s="70">
        <f t="shared" si="65"/>
        <v>0</v>
      </c>
      <c r="F76" s="70">
        <f t="shared" si="65"/>
        <v>61170363</v>
      </c>
      <c r="G76" s="70">
        <f t="shared" si="65"/>
        <v>49129740</v>
      </c>
      <c r="H76" s="70">
        <f t="shared" si="65"/>
        <v>7470229</v>
      </c>
      <c r="I76" s="70">
        <f t="shared" si="65"/>
        <v>49129740</v>
      </c>
      <c r="J76" s="70">
        <f t="shared" si="65"/>
        <v>12040623</v>
      </c>
      <c r="K76" s="71">
        <f t="shared" si="3"/>
        <v>0.80316247265035845</v>
      </c>
      <c r="M76" s="69" t="s">
        <v>1012</v>
      </c>
      <c r="N76" s="69" t="s">
        <v>411</v>
      </c>
      <c r="O76" s="70">
        <f>O77</f>
        <v>61170363</v>
      </c>
      <c r="P76" s="70">
        <f t="shared" ref="P76:V76" si="66">P77</f>
        <v>0</v>
      </c>
      <c r="Q76" s="70">
        <f t="shared" si="66"/>
        <v>0</v>
      </c>
      <c r="R76" s="70">
        <f t="shared" si="66"/>
        <v>61170363</v>
      </c>
      <c r="S76" s="70">
        <f t="shared" si="66"/>
        <v>35811718</v>
      </c>
      <c r="T76" s="70">
        <f t="shared" si="66"/>
        <v>7470229</v>
      </c>
      <c r="U76" s="70">
        <f t="shared" si="66"/>
        <v>49129740</v>
      </c>
      <c r="V76" s="70">
        <f t="shared" si="66"/>
        <v>12040623</v>
      </c>
      <c r="W76" s="71">
        <f t="shared" si="5"/>
        <v>0.80316247265035845</v>
      </c>
      <c r="X76" s="230">
        <f t="shared" si="62"/>
        <v>0</v>
      </c>
    </row>
    <row r="77" spans="1:24" x14ac:dyDescent="0.25">
      <c r="A77" s="84" t="s">
        <v>1013</v>
      </c>
      <c r="B77" s="84" t="s">
        <v>413</v>
      </c>
      <c r="C77" s="73">
        <v>61170363</v>
      </c>
      <c r="D77" s="74"/>
      <c r="E77" s="85"/>
      <c r="F77" s="86">
        <f>+C77+D77-E77</f>
        <v>61170363</v>
      </c>
      <c r="G77" s="95">
        <v>49129740</v>
      </c>
      <c r="H77" s="74">
        <v>7470229</v>
      </c>
      <c r="I77" s="95">
        <v>49129740</v>
      </c>
      <c r="J77" s="75">
        <f>+F77-I77</f>
        <v>12040623</v>
      </c>
      <c r="K77" s="87">
        <f t="shared" si="3"/>
        <v>0.80316247265035845</v>
      </c>
      <c r="M77" s="84" t="s">
        <v>1013</v>
      </c>
      <c r="N77" s="84" t="s">
        <v>413</v>
      </c>
      <c r="O77" s="73">
        <v>61170363</v>
      </c>
      <c r="P77" s="74"/>
      <c r="Q77" s="85"/>
      <c r="R77" s="86">
        <f>+O77+P77-Q77</f>
        <v>61170363</v>
      </c>
      <c r="S77" s="95">
        <v>35811718</v>
      </c>
      <c r="T77" s="74">
        <v>7470229</v>
      </c>
      <c r="U77" s="95">
        <f>41659511+T77</f>
        <v>49129740</v>
      </c>
      <c r="V77" s="75">
        <f>+R77-U77</f>
        <v>12040623</v>
      </c>
      <c r="W77" s="87">
        <f t="shared" si="5"/>
        <v>0.80316247265035845</v>
      </c>
      <c r="X77" s="230">
        <f t="shared" si="62"/>
        <v>0</v>
      </c>
    </row>
    <row r="78" spans="1:24" x14ac:dyDescent="0.25">
      <c r="A78" s="66" t="s">
        <v>1014</v>
      </c>
      <c r="B78" s="66" t="s">
        <v>499</v>
      </c>
      <c r="C78" s="67">
        <f>+C79+C83</f>
        <v>93288262213.820007</v>
      </c>
      <c r="D78" s="67">
        <f t="shared" ref="D78:J78" si="67">+D79+D83</f>
        <v>0</v>
      </c>
      <c r="E78" s="67">
        <f t="shared" si="67"/>
        <v>0</v>
      </c>
      <c r="F78" s="67">
        <f t="shared" si="67"/>
        <v>93288262213.820007</v>
      </c>
      <c r="G78" s="67">
        <f t="shared" si="67"/>
        <v>44204119411</v>
      </c>
      <c r="H78" s="67">
        <f t="shared" si="67"/>
        <v>7476375123</v>
      </c>
      <c r="I78" s="67">
        <f t="shared" si="67"/>
        <v>44204119411</v>
      </c>
      <c r="J78" s="67">
        <f t="shared" si="67"/>
        <v>51892778240.820007</v>
      </c>
      <c r="K78" s="68">
        <f t="shared" ref="K78:K142" si="68">+I78/F78</f>
        <v>0.4738443868713364</v>
      </c>
      <c r="M78" s="66" t="s">
        <v>1014</v>
      </c>
      <c r="N78" s="66" t="s">
        <v>499</v>
      </c>
      <c r="O78" s="67">
        <f>+O79+O83</f>
        <v>93288262213.820007</v>
      </c>
      <c r="P78" s="67">
        <f t="shared" ref="P78:V78" si="69">+P79+P83</f>
        <v>0</v>
      </c>
      <c r="Q78" s="67">
        <f t="shared" si="69"/>
        <v>0</v>
      </c>
      <c r="R78" s="67">
        <f t="shared" si="69"/>
        <v>93288262213.820007</v>
      </c>
      <c r="S78" s="67">
        <f t="shared" si="69"/>
        <v>24800088690</v>
      </c>
      <c r="T78" s="67">
        <f t="shared" si="69"/>
        <v>7476375123</v>
      </c>
      <c r="U78" s="67">
        <f t="shared" si="69"/>
        <v>44204119411</v>
      </c>
      <c r="V78" s="67">
        <f t="shared" si="69"/>
        <v>51892778240.820007</v>
      </c>
      <c r="W78" s="68">
        <f t="shared" ref="W78:W142" si="70">+U78/R78</f>
        <v>0.4738443868713364</v>
      </c>
      <c r="X78" s="230">
        <f t="shared" si="62"/>
        <v>0</v>
      </c>
    </row>
    <row r="79" spans="1:24" x14ac:dyDescent="0.25">
      <c r="A79" s="66" t="s">
        <v>1015</v>
      </c>
      <c r="B79" s="66" t="s">
        <v>809</v>
      </c>
      <c r="C79" s="67">
        <f>+C80</f>
        <v>1592517443.1900001</v>
      </c>
      <c r="D79" s="67">
        <f t="shared" ref="D79:J81" si="71">+D80</f>
        <v>0</v>
      </c>
      <c r="E79" s="67">
        <f t="shared" si="71"/>
        <v>0</v>
      </c>
      <c r="F79" s="67">
        <f t="shared" si="71"/>
        <v>1592517443.1900001</v>
      </c>
      <c r="G79" s="67">
        <f t="shared" si="71"/>
        <v>817790798</v>
      </c>
      <c r="H79" s="67">
        <f t="shared" si="71"/>
        <v>0</v>
      </c>
      <c r="I79" s="67">
        <f t="shared" si="71"/>
        <v>817790798</v>
      </c>
      <c r="J79" s="67">
        <f t="shared" si="71"/>
        <v>774726645.19000006</v>
      </c>
      <c r="K79" s="68">
        <f t="shared" si="68"/>
        <v>0.51352077900124515</v>
      </c>
      <c r="M79" s="66" t="s">
        <v>1015</v>
      </c>
      <c r="N79" s="66" t="s">
        <v>809</v>
      </c>
      <c r="O79" s="67">
        <f>+O80</f>
        <v>1592517443.1900001</v>
      </c>
      <c r="P79" s="67">
        <f t="shared" ref="P79:V81" si="72">+P80</f>
        <v>0</v>
      </c>
      <c r="Q79" s="67">
        <f t="shared" si="72"/>
        <v>0</v>
      </c>
      <c r="R79" s="67">
        <f t="shared" si="72"/>
        <v>1592517443.1900001</v>
      </c>
      <c r="S79" s="67">
        <f t="shared" si="72"/>
        <v>309296084</v>
      </c>
      <c r="T79" s="67">
        <f t="shared" si="72"/>
        <v>0</v>
      </c>
      <c r="U79" s="67">
        <f t="shared" si="72"/>
        <v>817790798</v>
      </c>
      <c r="V79" s="67">
        <f t="shared" si="72"/>
        <v>774726645.19000006</v>
      </c>
      <c r="W79" s="68">
        <f t="shared" si="70"/>
        <v>0.51352077900124515</v>
      </c>
      <c r="X79" s="230">
        <f t="shared" si="62"/>
        <v>0</v>
      </c>
    </row>
    <row r="80" spans="1:24" x14ac:dyDescent="0.25">
      <c r="A80" s="66" t="s">
        <v>1016</v>
      </c>
      <c r="B80" s="66" t="s">
        <v>809</v>
      </c>
      <c r="C80" s="67">
        <f>+C81</f>
        <v>1592517443.1900001</v>
      </c>
      <c r="D80" s="67">
        <f t="shared" si="71"/>
        <v>0</v>
      </c>
      <c r="E80" s="67">
        <f t="shared" si="71"/>
        <v>0</v>
      </c>
      <c r="F80" s="67">
        <f t="shared" si="71"/>
        <v>1592517443.1900001</v>
      </c>
      <c r="G80" s="67">
        <f t="shared" si="71"/>
        <v>817790798</v>
      </c>
      <c r="H80" s="67">
        <f t="shared" si="71"/>
        <v>0</v>
      </c>
      <c r="I80" s="67">
        <f t="shared" si="71"/>
        <v>817790798</v>
      </c>
      <c r="J80" s="67">
        <f t="shared" si="71"/>
        <v>774726645.19000006</v>
      </c>
      <c r="K80" s="68">
        <f t="shared" si="68"/>
        <v>0.51352077900124515</v>
      </c>
      <c r="M80" s="66" t="s">
        <v>1016</v>
      </c>
      <c r="N80" s="66" t="s">
        <v>809</v>
      </c>
      <c r="O80" s="67">
        <f>+O81</f>
        <v>1592517443.1900001</v>
      </c>
      <c r="P80" s="67">
        <f t="shared" si="72"/>
        <v>0</v>
      </c>
      <c r="Q80" s="67">
        <f t="shared" si="72"/>
        <v>0</v>
      </c>
      <c r="R80" s="67">
        <f t="shared" si="72"/>
        <v>1592517443.1900001</v>
      </c>
      <c r="S80" s="67">
        <f t="shared" si="72"/>
        <v>309296084</v>
      </c>
      <c r="T80" s="67">
        <f t="shared" si="72"/>
        <v>0</v>
      </c>
      <c r="U80" s="67">
        <f t="shared" si="72"/>
        <v>817790798</v>
      </c>
      <c r="V80" s="67">
        <f t="shared" si="72"/>
        <v>774726645.19000006</v>
      </c>
      <c r="W80" s="68">
        <f t="shared" si="70"/>
        <v>0.51352077900124515</v>
      </c>
      <c r="X80" s="230">
        <f t="shared" si="62"/>
        <v>0</v>
      </c>
    </row>
    <row r="81" spans="1:24" x14ac:dyDescent="0.25">
      <c r="A81" s="69" t="s">
        <v>1017</v>
      </c>
      <c r="B81" s="69" t="s">
        <v>809</v>
      </c>
      <c r="C81" s="70">
        <f>+C82</f>
        <v>1592517443.1900001</v>
      </c>
      <c r="D81" s="70">
        <f t="shared" si="71"/>
        <v>0</v>
      </c>
      <c r="E81" s="70">
        <f t="shared" si="71"/>
        <v>0</v>
      </c>
      <c r="F81" s="70">
        <f t="shared" si="71"/>
        <v>1592517443.1900001</v>
      </c>
      <c r="G81" s="70">
        <f t="shared" si="71"/>
        <v>817790798</v>
      </c>
      <c r="H81" s="70">
        <f t="shared" si="71"/>
        <v>0</v>
      </c>
      <c r="I81" s="70">
        <f t="shared" si="71"/>
        <v>817790798</v>
      </c>
      <c r="J81" s="70">
        <f t="shared" si="71"/>
        <v>774726645.19000006</v>
      </c>
      <c r="K81" s="68">
        <f t="shared" si="68"/>
        <v>0.51352077900124515</v>
      </c>
      <c r="M81" s="69" t="s">
        <v>1017</v>
      </c>
      <c r="N81" s="69" t="s">
        <v>809</v>
      </c>
      <c r="O81" s="70">
        <f>+O82</f>
        <v>1592517443.1900001</v>
      </c>
      <c r="P81" s="70">
        <f t="shared" si="72"/>
        <v>0</v>
      </c>
      <c r="Q81" s="70">
        <f t="shared" si="72"/>
        <v>0</v>
      </c>
      <c r="R81" s="70">
        <f t="shared" si="72"/>
        <v>1592517443.1900001</v>
      </c>
      <c r="S81" s="70">
        <f t="shared" si="72"/>
        <v>309296084</v>
      </c>
      <c r="T81" s="70">
        <f t="shared" si="72"/>
        <v>0</v>
      </c>
      <c r="U81" s="70">
        <f t="shared" si="72"/>
        <v>817790798</v>
      </c>
      <c r="V81" s="70">
        <f t="shared" si="72"/>
        <v>774726645.19000006</v>
      </c>
      <c r="W81" s="68">
        <f t="shared" si="70"/>
        <v>0.51352077900124515</v>
      </c>
      <c r="X81" s="230">
        <f t="shared" si="62"/>
        <v>0</v>
      </c>
    </row>
    <row r="82" spans="1:24" x14ac:dyDescent="0.25">
      <c r="A82" s="84" t="s">
        <v>1018</v>
      </c>
      <c r="B82" s="84" t="s">
        <v>809</v>
      </c>
      <c r="C82" s="73">
        <f>1592517443+0.19</f>
        <v>1592517443.1900001</v>
      </c>
      <c r="D82" s="74"/>
      <c r="E82" s="85"/>
      <c r="F82" s="86">
        <f>+C82+D82-E82</f>
        <v>1592517443.1900001</v>
      </c>
      <c r="G82" s="95">
        <v>817790798</v>
      </c>
      <c r="H82" s="74"/>
      <c r="I82" s="95">
        <v>817790798</v>
      </c>
      <c r="J82" s="97">
        <f>+F82-I82</f>
        <v>774726645.19000006</v>
      </c>
      <c r="K82" s="87">
        <f t="shared" si="68"/>
        <v>0.51352077900124515</v>
      </c>
      <c r="L82" s="98"/>
      <c r="M82" s="84" t="s">
        <v>1018</v>
      </c>
      <c r="N82" s="84" t="s">
        <v>809</v>
      </c>
      <c r="O82" s="73">
        <f>1592517443+0.19</f>
        <v>1592517443.1900001</v>
      </c>
      <c r="P82" s="74"/>
      <c r="Q82" s="85"/>
      <c r="R82" s="86">
        <f>+O82+P82-Q82</f>
        <v>1592517443.1900001</v>
      </c>
      <c r="S82" s="95">
        <v>309296084</v>
      </c>
      <c r="T82" s="74"/>
      <c r="U82" s="95">
        <v>817790798</v>
      </c>
      <c r="V82" s="97">
        <f>+R82-U82</f>
        <v>774726645.19000006</v>
      </c>
      <c r="W82" s="87">
        <f t="shared" si="70"/>
        <v>0.51352077900124515</v>
      </c>
      <c r="X82" s="230">
        <f t="shared" si="62"/>
        <v>0</v>
      </c>
    </row>
    <row r="83" spans="1:24" x14ac:dyDescent="0.25">
      <c r="A83" s="66" t="s">
        <v>1019</v>
      </c>
      <c r="B83" s="66" t="s">
        <v>810</v>
      </c>
      <c r="C83" s="67">
        <f>+C84</f>
        <v>91695744770.630005</v>
      </c>
      <c r="D83" s="67">
        <f t="shared" ref="D83:J84" si="73">+D84</f>
        <v>0</v>
      </c>
      <c r="E83" s="67">
        <f t="shared" si="73"/>
        <v>0</v>
      </c>
      <c r="F83" s="67">
        <f t="shared" si="73"/>
        <v>91695744770.630005</v>
      </c>
      <c r="G83" s="67">
        <f t="shared" si="73"/>
        <v>43386328613</v>
      </c>
      <c r="H83" s="67">
        <f t="shared" si="73"/>
        <v>7476375123</v>
      </c>
      <c r="I83" s="67">
        <f t="shared" si="73"/>
        <v>43386328613</v>
      </c>
      <c r="J83" s="67">
        <f t="shared" si="73"/>
        <v>51118051595.630005</v>
      </c>
      <c r="K83" s="68">
        <f t="shared" si="68"/>
        <v>0.4731553107674476</v>
      </c>
      <c r="L83" s="98"/>
      <c r="M83" s="66" t="s">
        <v>1019</v>
      </c>
      <c r="N83" s="66" t="s">
        <v>810</v>
      </c>
      <c r="O83" s="67">
        <f>+O84</f>
        <v>91695744770.630005</v>
      </c>
      <c r="P83" s="67">
        <f t="shared" ref="P83:V84" si="74">+P84</f>
        <v>0</v>
      </c>
      <c r="Q83" s="67">
        <f t="shared" si="74"/>
        <v>0</v>
      </c>
      <c r="R83" s="67">
        <f t="shared" si="74"/>
        <v>91695744770.630005</v>
      </c>
      <c r="S83" s="67">
        <f t="shared" si="74"/>
        <v>24490792606</v>
      </c>
      <c r="T83" s="67">
        <f t="shared" si="74"/>
        <v>7476375123</v>
      </c>
      <c r="U83" s="67">
        <f t="shared" si="74"/>
        <v>43386328613</v>
      </c>
      <c r="V83" s="67">
        <f t="shared" si="74"/>
        <v>51118051595.630005</v>
      </c>
      <c r="W83" s="68">
        <f t="shared" si="70"/>
        <v>0.4731553107674476</v>
      </c>
      <c r="X83" s="230">
        <f t="shared" si="62"/>
        <v>0</v>
      </c>
    </row>
    <row r="84" spans="1:24" x14ac:dyDescent="0.25">
      <c r="A84" s="66" t="s">
        <v>1020</v>
      </c>
      <c r="B84" s="66" t="s">
        <v>811</v>
      </c>
      <c r="C84" s="67">
        <f>+C85</f>
        <v>91695744770.630005</v>
      </c>
      <c r="D84" s="67">
        <f t="shared" si="73"/>
        <v>0</v>
      </c>
      <c r="E84" s="67">
        <f t="shared" si="73"/>
        <v>0</v>
      </c>
      <c r="F84" s="67">
        <f t="shared" si="73"/>
        <v>91695744770.630005</v>
      </c>
      <c r="G84" s="67">
        <f t="shared" si="73"/>
        <v>43386328613</v>
      </c>
      <c r="H84" s="67">
        <f t="shared" si="73"/>
        <v>7476375123</v>
      </c>
      <c r="I84" s="67">
        <f t="shared" si="73"/>
        <v>43386328613</v>
      </c>
      <c r="J84" s="67">
        <f t="shared" si="73"/>
        <v>51118051595.630005</v>
      </c>
      <c r="K84" s="68">
        <f t="shared" si="68"/>
        <v>0.4731553107674476</v>
      </c>
      <c r="L84" s="98"/>
      <c r="M84" s="66" t="s">
        <v>1020</v>
      </c>
      <c r="N84" s="66" t="s">
        <v>811</v>
      </c>
      <c r="O84" s="67">
        <f>+O85</f>
        <v>91695744770.630005</v>
      </c>
      <c r="P84" s="67">
        <f t="shared" si="74"/>
        <v>0</v>
      </c>
      <c r="Q84" s="67">
        <f t="shared" si="74"/>
        <v>0</v>
      </c>
      <c r="R84" s="67">
        <f t="shared" si="74"/>
        <v>91695744770.630005</v>
      </c>
      <c r="S84" s="67">
        <f t="shared" si="74"/>
        <v>24490792606</v>
      </c>
      <c r="T84" s="67">
        <f t="shared" si="74"/>
        <v>7476375123</v>
      </c>
      <c r="U84" s="67">
        <f t="shared" si="74"/>
        <v>43386328613</v>
      </c>
      <c r="V84" s="67">
        <f t="shared" si="74"/>
        <v>51118051595.630005</v>
      </c>
      <c r="W84" s="68">
        <f t="shared" si="70"/>
        <v>0.4731553107674476</v>
      </c>
      <c r="X84" s="230">
        <f t="shared" si="62"/>
        <v>0</v>
      </c>
    </row>
    <row r="85" spans="1:24" x14ac:dyDescent="0.25">
      <c r="A85" s="69" t="s">
        <v>1021</v>
      </c>
      <c r="B85" s="69" t="s">
        <v>811</v>
      </c>
      <c r="C85" s="70">
        <f>SUM(C86:C90)</f>
        <v>91695744770.630005</v>
      </c>
      <c r="D85" s="70">
        <f t="shared" ref="D85:J85" si="75">SUM(D86:D90)</f>
        <v>0</v>
      </c>
      <c r="E85" s="70">
        <f t="shared" si="75"/>
        <v>0</v>
      </c>
      <c r="F85" s="70">
        <f t="shared" si="75"/>
        <v>91695744770.630005</v>
      </c>
      <c r="G85" s="70">
        <f t="shared" si="75"/>
        <v>43386328613</v>
      </c>
      <c r="H85" s="70">
        <f t="shared" si="75"/>
        <v>7476375123</v>
      </c>
      <c r="I85" s="70">
        <f t="shared" si="75"/>
        <v>43386328613</v>
      </c>
      <c r="J85" s="70">
        <f t="shared" si="75"/>
        <v>51118051595.630005</v>
      </c>
      <c r="K85" s="71">
        <f t="shared" si="68"/>
        <v>0.4731553107674476</v>
      </c>
      <c r="L85" s="98"/>
      <c r="M85" s="69" t="s">
        <v>1021</v>
      </c>
      <c r="N85" s="69" t="s">
        <v>811</v>
      </c>
      <c r="O85" s="70">
        <f>SUM(O86:O90)</f>
        <v>91695744770.630005</v>
      </c>
      <c r="P85" s="70">
        <f t="shared" ref="P85:V85" si="76">SUM(P86:P90)</f>
        <v>0</v>
      </c>
      <c r="Q85" s="70">
        <f t="shared" si="76"/>
        <v>0</v>
      </c>
      <c r="R85" s="70">
        <f t="shared" si="76"/>
        <v>91695744770.630005</v>
      </c>
      <c r="S85" s="70">
        <f t="shared" si="76"/>
        <v>24490792606</v>
      </c>
      <c r="T85" s="70">
        <f>SUM(T86:T90)</f>
        <v>7476375123</v>
      </c>
      <c r="U85" s="70">
        <f t="shared" si="76"/>
        <v>43386328613</v>
      </c>
      <c r="V85" s="70">
        <f t="shared" si="76"/>
        <v>51118051595.630005</v>
      </c>
      <c r="W85" s="71">
        <f t="shared" si="70"/>
        <v>0.4731553107674476</v>
      </c>
      <c r="X85" s="230">
        <f t="shared" si="62"/>
        <v>0</v>
      </c>
    </row>
    <row r="86" spans="1:24" x14ac:dyDescent="0.25">
      <c r="A86" s="82" t="s">
        <v>1022</v>
      </c>
      <c r="B86" s="84" t="s">
        <v>812</v>
      </c>
      <c r="C86" s="73">
        <v>82696535868</v>
      </c>
      <c r="D86" s="74"/>
      <c r="E86" s="85"/>
      <c r="F86" s="86">
        <f>+C86+D86-E86</f>
        <v>82696535868</v>
      </c>
      <c r="G86" s="95">
        <v>31930122590</v>
      </c>
      <c r="H86" s="74">
        <v>4667739685</v>
      </c>
      <c r="I86" s="95">
        <v>31930122590</v>
      </c>
      <c r="J86" s="75">
        <f>+F86-I86</f>
        <v>50766413278</v>
      </c>
      <c r="K86" s="87">
        <f t="shared" si="68"/>
        <v>0.38611197258572932</v>
      </c>
      <c r="L86" s="98"/>
      <c r="M86" s="82" t="s">
        <v>1022</v>
      </c>
      <c r="N86" s="84" t="s">
        <v>812</v>
      </c>
      <c r="O86" s="73">
        <v>82696535868</v>
      </c>
      <c r="P86" s="74"/>
      <c r="Q86" s="85"/>
      <c r="R86" s="86">
        <f>+O86+P86-Q86</f>
        <v>82696535868</v>
      </c>
      <c r="S86" s="95">
        <v>22594643220</v>
      </c>
      <c r="T86" s="74">
        <v>4667739685</v>
      </c>
      <c r="U86" s="95">
        <f>27262382905+T86</f>
        <v>31930122590</v>
      </c>
      <c r="V86" s="75">
        <f>+R86-U86</f>
        <v>50766413278</v>
      </c>
      <c r="W86" s="87">
        <f t="shared" si="70"/>
        <v>0.38611197258572932</v>
      </c>
      <c r="X86" s="230">
        <f t="shared" si="62"/>
        <v>0</v>
      </c>
    </row>
    <row r="87" spans="1:24" x14ac:dyDescent="0.25">
      <c r="A87" s="82" t="s">
        <v>1339</v>
      </c>
      <c r="B87" s="84" t="s">
        <v>1340</v>
      </c>
      <c r="C87" s="73"/>
      <c r="D87" s="74"/>
      <c r="E87" s="85"/>
      <c r="F87" s="86"/>
      <c r="G87" s="95">
        <v>2808635438</v>
      </c>
      <c r="H87" s="74">
        <v>2808635438</v>
      </c>
      <c r="I87" s="95">
        <v>2808635438</v>
      </c>
      <c r="J87" s="75"/>
      <c r="K87" s="87"/>
      <c r="L87" s="98"/>
      <c r="M87" s="82" t="s">
        <v>1339</v>
      </c>
      <c r="N87" s="84" t="s">
        <v>1340</v>
      </c>
      <c r="O87" s="73"/>
      <c r="P87" s="74"/>
      <c r="Q87" s="85"/>
      <c r="R87" s="86"/>
      <c r="S87" s="95"/>
      <c r="T87" s="74">
        <v>2808635438</v>
      </c>
      <c r="U87" s="95">
        <f>T87</f>
        <v>2808635438</v>
      </c>
      <c r="V87" s="75"/>
      <c r="W87" s="87"/>
      <c r="X87" s="230">
        <f t="shared" ref="X87:X118" si="77">+I88-G88</f>
        <v>0</v>
      </c>
    </row>
    <row r="88" spans="1:24" x14ac:dyDescent="0.25">
      <c r="A88" s="84" t="s">
        <v>1023</v>
      </c>
      <c r="B88" s="84" t="s">
        <v>813</v>
      </c>
      <c r="C88" s="73">
        <f>2777176738+0.22</f>
        <v>2777176738.2199998</v>
      </c>
      <c r="D88" s="74"/>
      <c r="E88" s="85"/>
      <c r="F88" s="86">
        <f>+C88+D88-E88</f>
        <v>2777176738.2199998</v>
      </c>
      <c r="G88" s="95">
        <v>0</v>
      </c>
      <c r="H88" s="74"/>
      <c r="I88" s="95">
        <v>0</v>
      </c>
      <c r="J88" s="75">
        <f>+F88-I88</f>
        <v>2777176738.2199998</v>
      </c>
      <c r="K88" s="87">
        <f t="shared" si="68"/>
        <v>0</v>
      </c>
      <c r="L88" s="98"/>
      <c r="M88" s="84" t="s">
        <v>1023</v>
      </c>
      <c r="N88" s="84" t="s">
        <v>813</v>
      </c>
      <c r="O88" s="73">
        <f>2777176738+0.22</f>
        <v>2777176738.2199998</v>
      </c>
      <c r="P88" s="74"/>
      <c r="Q88" s="85"/>
      <c r="R88" s="86">
        <f>+O88+P88-Q88</f>
        <v>2777176738.2199998</v>
      </c>
      <c r="S88" s="95">
        <v>0</v>
      </c>
      <c r="T88" s="74"/>
      <c r="U88" s="95">
        <v>0</v>
      </c>
      <c r="V88" s="75">
        <f>+R88-U88</f>
        <v>2777176738.2199998</v>
      </c>
      <c r="W88" s="87">
        <f t="shared" si="70"/>
        <v>0</v>
      </c>
      <c r="X88" s="230">
        <f t="shared" si="77"/>
        <v>0</v>
      </c>
    </row>
    <row r="89" spans="1:24" x14ac:dyDescent="0.25">
      <c r="A89" s="84" t="s">
        <v>1024</v>
      </c>
      <c r="B89" s="84" t="s">
        <v>814</v>
      </c>
      <c r="C89" s="73">
        <f>553630590+0.41</f>
        <v>553630590.40999997</v>
      </c>
      <c r="D89" s="74"/>
      <c r="E89" s="85"/>
      <c r="F89" s="86">
        <f>+C89+D89-E89</f>
        <v>553630590.40999997</v>
      </c>
      <c r="G89" s="95">
        <v>1896149386</v>
      </c>
      <c r="H89" s="74"/>
      <c r="I89" s="95">
        <v>1896149386</v>
      </c>
      <c r="J89" s="75">
        <f>+F89-I89</f>
        <v>-1342518795.5900002</v>
      </c>
      <c r="K89" s="87">
        <f t="shared" si="68"/>
        <v>3.4249360834555338</v>
      </c>
      <c r="L89" s="98"/>
      <c r="M89" s="84" t="s">
        <v>1024</v>
      </c>
      <c r="N89" s="84" t="s">
        <v>814</v>
      </c>
      <c r="O89" s="73">
        <f>553630590+0.41</f>
        <v>553630590.40999997</v>
      </c>
      <c r="P89" s="74"/>
      <c r="Q89" s="85"/>
      <c r="R89" s="86">
        <f>+O89+P89-Q89</f>
        <v>553630590.40999997</v>
      </c>
      <c r="S89" s="95">
        <v>1896149386</v>
      </c>
      <c r="T89" s="74"/>
      <c r="U89" s="95">
        <v>1896149386</v>
      </c>
      <c r="V89" s="75">
        <f>+R89-U89</f>
        <v>-1342518795.5900002</v>
      </c>
      <c r="W89" s="87">
        <f t="shared" si="70"/>
        <v>3.4249360834555338</v>
      </c>
      <c r="X89" s="230">
        <f t="shared" si="77"/>
        <v>0</v>
      </c>
    </row>
    <row r="90" spans="1:24" x14ac:dyDescent="0.25">
      <c r="A90" s="84" t="s">
        <v>1025</v>
      </c>
      <c r="B90" s="84" t="s">
        <v>815</v>
      </c>
      <c r="C90" s="73">
        <v>5668401574</v>
      </c>
      <c r="D90" s="74"/>
      <c r="E90" s="85"/>
      <c r="F90" s="86">
        <f>+C90+D90-E90</f>
        <v>5668401574</v>
      </c>
      <c r="G90" s="95">
        <v>6751421199</v>
      </c>
      <c r="H90" s="74"/>
      <c r="I90" s="95">
        <v>6751421199</v>
      </c>
      <c r="J90" s="75">
        <f>+F90-I90</f>
        <v>-1083019625</v>
      </c>
      <c r="K90" s="87">
        <f t="shared" si="68"/>
        <v>1.1910626145415717</v>
      </c>
      <c r="L90" s="98"/>
      <c r="M90" s="84" t="s">
        <v>1025</v>
      </c>
      <c r="N90" s="84" t="s">
        <v>815</v>
      </c>
      <c r="O90" s="73">
        <v>5668401574</v>
      </c>
      <c r="P90" s="74"/>
      <c r="Q90" s="85"/>
      <c r="R90" s="86">
        <f>+O90+P90-Q90</f>
        <v>5668401574</v>
      </c>
      <c r="S90" s="95">
        <v>0</v>
      </c>
      <c r="T90" s="74"/>
      <c r="U90" s="95">
        <v>6751421199</v>
      </c>
      <c r="V90" s="75">
        <f>+R90-U90</f>
        <v>-1083019625</v>
      </c>
      <c r="W90" s="87">
        <f t="shared" si="70"/>
        <v>1.1910626145415717</v>
      </c>
      <c r="X90" s="230">
        <f t="shared" si="77"/>
        <v>219821639</v>
      </c>
    </row>
    <row r="91" spans="1:24" x14ac:dyDescent="0.25">
      <c r="A91" s="66" t="s">
        <v>1026</v>
      </c>
      <c r="B91" s="66" t="s">
        <v>816</v>
      </c>
      <c r="C91" s="67">
        <f>+C92+C133+C138+C123</f>
        <v>415959602</v>
      </c>
      <c r="D91" s="67">
        <f t="shared" ref="D91:J91" si="78">+D92+D133+D138+D123</f>
        <v>33233106865.709999</v>
      </c>
      <c r="E91" s="67">
        <f t="shared" si="78"/>
        <v>0</v>
      </c>
      <c r="F91" s="67">
        <f t="shared" si="78"/>
        <v>33649066467.709999</v>
      </c>
      <c r="G91" s="67">
        <f t="shared" si="78"/>
        <v>33359354130.360001</v>
      </c>
      <c r="H91" s="67">
        <f t="shared" si="78"/>
        <v>39269685.170000002</v>
      </c>
      <c r="I91" s="67">
        <f t="shared" si="78"/>
        <v>33579175769.360001</v>
      </c>
      <c r="J91" s="67">
        <f t="shared" si="78"/>
        <v>69890698.350000009</v>
      </c>
      <c r="K91" s="68">
        <f t="shared" si="68"/>
        <v>0.99792295282791676</v>
      </c>
      <c r="L91" s="98"/>
      <c r="M91" s="66" t="s">
        <v>1026</v>
      </c>
      <c r="N91" s="66" t="s">
        <v>816</v>
      </c>
      <c r="O91" s="67">
        <f>+O92+O133+O138+O123</f>
        <v>415959602</v>
      </c>
      <c r="P91" s="67">
        <f t="shared" ref="P91:V91" si="79">+P92+P133+P138+P123</f>
        <v>33233106865.709999</v>
      </c>
      <c r="Q91" s="67">
        <f t="shared" si="79"/>
        <v>0</v>
      </c>
      <c r="R91" s="67">
        <f t="shared" si="79"/>
        <v>33437166467.709999</v>
      </c>
      <c r="S91" s="67">
        <f t="shared" si="79"/>
        <v>18217290130.470001</v>
      </c>
      <c r="T91" s="67">
        <f t="shared" si="79"/>
        <v>39269685.170000002</v>
      </c>
      <c r="U91" s="67">
        <f t="shared" si="79"/>
        <v>18501453191.639999</v>
      </c>
      <c r="V91" s="67">
        <f t="shared" si="79"/>
        <v>14935713276.069998</v>
      </c>
      <c r="W91" s="68">
        <f t="shared" si="70"/>
        <v>0.55332000722928187</v>
      </c>
      <c r="X91" s="230">
        <f t="shared" si="77"/>
        <v>0</v>
      </c>
    </row>
    <row r="92" spans="1:24" x14ac:dyDescent="0.25">
      <c r="A92" s="66" t="s">
        <v>1027</v>
      </c>
      <c r="B92" s="66" t="s">
        <v>817</v>
      </c>
      <c r="C92" s="67">
        <f>+C93+C113+C118</f>
        <v>216959602</v>
      </c>
      <c r="D92" s="67">
        <f t="shared" ref="D92:J92" si="80">+D93+D113+D118</f>
        <v>0</v>
      </c>
      <c r="E92" s="67">
        <f t="shared" si="80"/>
        <v>0</v>
      </c>
      <c r="F92" s="67">
        <f t="shared" si="80"/>
        <v>216959602</v>
      </c>
      <c r="G92" s="67">
        <f t="shared" si="80"/>
        <v>144794457.65000001</v>
      </c>
      <c r="H92" s="67">
        <f t="shared" si="80"/>
        <v>37892211.170000002</v>
      </c>
      <c r="I92" s="67">
        <f t="shared" si="80"/>
        <v>144794457.65000001</v>
      </c>
      <c r="J92" s="67">
        <f t="shared" si="80"/>
        <v>72165144.350000009</v>
      </c>
      <c r="K92" s="68">
        <f t="shared" si="68"/>
        <v>0.6673798085691548</v>
      </c>
      <c r="L92" s="98"/>
      <c r="M92" s="66" t="s">
        <v>1027</v>
      </c>
      <c r="N92" s="66" t="s">
        <v>817</v>
      </c>
      <c r="O92" s="67">
        <f>+O93+O113+O118</f>
        <v>216959602</v>
      </c>
      <c r="P92" s="67">
        <f t="shared" ref="P92:V92" si="81">+P93+P113+P118</f>
        <v>0</v>
      </c>
      <c r="Q92" s="67">
        <f t="shared" si="81"/>
        <v>0</v>
      </c>
      <c r="R92" s="67">
        <f t="shared" si="81"/>
        <v>216959602</v>
      </c>
      <c r="S92" s="67">
        <f t="shared" si="81"/>
        <v>81830509.480000004</v>
      </c>
      <c r="T92" s="67">
        <f t="shared" si="81"/>
        <v>37892211.170000002</v>
      </c>
      <c r="U92" s="67">
        <f t="shared" si="81"/>
        <v>144794457.65000001</v>
      </c>
      <c r="V92" s="67">
        <f t="shared" si="81"/>
        <v>72165144.350000009</v>
      </c>
      <c r="W92" s="68">
        <f t="shared" si="70"/>
        <v>0.6673798085691548</v>
      </c>
      <c r="X92" s="230">
        <f t="shared" si="77"/>
        <v>0</v>
      </c>
    </row>
    <row r="93" spans="1:24" x14ac:dyDescent="0.25">
      <c r="A93" s="66" t="s">
        <v>1028</v>
      </c>
      <c r="B93" s="66" t="s">
        <v>818</v>
      </c>
      <c r="C93" s="67">
        <f>+C94</f>
        <v>216959602</v>
      </c>
      <c r="D93" s="67">
        <f t="shared" ref="D93:J95" si="82">+D94</f>
        <v>0</v>
      </c>
      <c r="E93" s="67">
        <f t="shared" si="82"/>
        <v>0</v>
      </c>
      <c r="F93" s="67">
        <f t="shared" si="82"/>
        <v>216959602</v>
      </c>
      <c r="G93" s="67">
        <f t="shared" si="82"/>
        <v>144794457.65000001</v>
      </c>
      <c r="H93" s="67">
        <f t="shared" si="82"/>
        <v>37892211.170000002</v>
      </c>
      <c r="I93" s="67">
        <f t="shared" si="82"/>
        <v>144794457.65000001</v>
      </c>
      <c r="J93" s="67">
        <f t="shared" si="82"/>
        <v>72165144.350000009</v>
      </c>
      <c r="K93" s="68">
        <f t="shared" si="68"/>
        <v>0.6673798085691548</v>
      </c>
      <c r="L93" s="98"/>
      <c r="M93" s="66" t="s">
        <v>1028</v>
      </c>
      <c r="N93" s="66" t="s">
        <v>818</v>
      </c>
      <c r="O93" s="67">
        <f>+O94</f>
        <v>216959602</v>
      </c>
      <c r="P93" s="67">
        <f t="shared" ref="P93:V95" si="83">+P94</f>
        <v>0</v>
      </c>
      <c r="Q93" s="67">
        <f t="shared" si="83"/>
        <v>0</v>
      </c>
      <c r="R93" s="67">
        <f t="shared" si="83"/>
        <v>216959602</v>
      </c>
      <c r="S93" s="67">
        <f t="shared" si="83"/>
        <v>81830509.480000004</v>
      </c>
      <c r="T93" s="67">
        <f t="shared" si="83"/>
        <v>37892211.170000002</v>
      </c>
      <c r="U93" s="67">
        <f t="shared" si="83"/>
        <v>144794457.65000001</v>
      </c>
      <c r="V93" s="67">
        <f t="shared" si="83"/>
        <v>72165144.350000009</v>
      </c>
      <c r="W93" s="68">
        <f t="shared" si="70"/>
        <v>0.6673798085691548</v>
      </c>
      <c r="X93" s="230">
        <f t="shared" si="77"/>
        <v>0</v>
      </c>
    </row>
    <row r="94" spans="1:24" x14ac:dyDescent="0.25">
      <c r="A94" s="66" t="s">
        <v>1029</v>
      </c>
      <c r="B94" s="66" t="s">
        <v>819</v>
      </c>
      <c r="C94" s="67">
        <f>+C95</f>
        <v>216959602</v>
      </c>
      <c r="D94" s="67">
        <f t="shared" si="82"/>
        <v>0</v>
      </c>
      <c r="E94" s="67">
        <f t="shared" si="82"/>
        <v>0</v>
      </c>
      <c r="F94" s="67">
        <f t="shared" si="82"/>
        <v>216959602</v>
      </c>
      <c r="G94" s="67">
        <f t="shared" si="82"/>
        <v>144794457.65000001</v>
      </c>
      <c r="H94" s="67">
        <f t="shared" si="82"/>
        <v>37892211.170000002</v>
      </c>
      <c r="I94" s="67">
        <f t="shared" si="82"/>
        <v>144794457.65000001</v>
      </c>
      <c r="J94" s="67">
        <f t="shared" si="82"/>
        <v>72165144.350000009</v>
      </c>
      <c r="K94" s="68">
        <f t="shared" si="68"/>
        <v>0.6673798085691548</v>
      </c>
      <c r="L94" s="98"/>
      <c r="M94" s="66" t="s">
        <v>1029</v>
      </c>
      <c r="N94" s="66" t="s">
        <v>819</v>
      </c>
      <c r="O94" s="67">
        <f>+O95</f>
        <v>216959602</v>
      </c>
      <c r="P94" s="67">
        <f t="shared" si="83"/>
        <v>0</v>
      </c>
      <c r="Q94" s="67">
        <f t="shared" si="83"/>
        <v>0</v>
      </c>
      <c r="R94" s="67">
        <f t="shared" si="83"/>
        <v>216959602</v>
      </c>
      <c r="S94" s="67">
        <f t="shared" si="83"/>
        <v>81830509.480000004</v>
      </c>
      <c r="T94" s="67">
        <f t="shared" si="83"/>
        <v>37892211.170000002</v>
      </c>
      <c r="U94" s="67">
        <f t="shared" si="83"/>
        <v>144794457.65000001</v>
      </c>
      <c r="V94" s="67">
        <f t="shared" si="83"/>
        <v>72165144.350000009</v>
      </c>
      <c r="W94" s="68">
        <f t="shared" si="70"/>
        <v>0.6673798085691548</v>
      </c>
      <c r="X94" s="230">
        <f t="shared" si="77"/>
        <v>0</v>
      </c>
    </row>
    <row r="95" spans="1:24" x14ac:dyDescent="0.25">
      <c r="A95" s="66" t="s">
        <v>1030</v>
      </c>
      <c r="B95" s="66" t="s">
        <v>819</v>
      </c>
      <c r="C95" s="67">
        <f>+C96</f>
        <v>216959602</v>
      </c>
      <c r="D95" s="67">
        <f t="shared" si="82"/>
        <v>0</v>
      </c>
      <c r="E95" s="67">
        <f t="shared" si="82"/>
        <v>0</v>
      </c>
      <c r="F95" s="67">
        <f t="shared" si="82"/>
        <v>216959602</v>
      </c>
      <c r="G95" s="67">
        <f t="shared" si="82"/>
        <v>144794457.65000001</v>
      </c>
      <c r="H95" s="67">
        <f t="shared" si="82"/>
        <v>37892211.170000002</v>
      </c>
      <c r="I95" s="67">
        <f t="shared" si="82"/>
        <v>144794457.65000001</v>
      </c>
      <c r="J95" s="67">
        <f t="shared" si="82"/>
        <v>72165144.350000009</v>
      </c>
      <c r="K95" s="68">
        <f t="shared" si="68"/>
        <v>0.6673798085691548</v>
      </c>
      <c r="L95" s="98"/>
      <c r="M95" s="66" t="s">
        <v>1030</v>
      </c>
      <c r="N95" s="66" t="s">
        <v>819</v>
      </c>
      <c r="O95" s="67">
        <f>+O96</f>
        <v>216959602</v>
      </c>
      <c r="P95" s="67">
        <f t="shared" si="83"/>
        <v>0</v>
      </c>
      <c r="Q95" s="67">
        <f t="shared" si="83"/>
        <v>0</v>
      </c>
      <c r="R95" s="67">
        <f t="shared" si="83"/>
        <v>216959602</v>
      </c>
      <c r="S95" s="67">
        <f t="shared" si="83"/>
        <v>81830509.480000004</v>
      </c>
      <c r="T95" s="67">
        <f t="shared" si="83"/>
        <v>37892211.170000002</v>
      </c>
      <c r="U95" s="67">
        <f t="shared" si="83"/>
        <v>144794457.65000001</v>
      </c>
      <c r="V95" s="67">
        <f t="shared" si="83"/>
        <v>72165144.350000009</v>
      </c>
      <c r="W95" s="68">
        <f t="shared" si="70"/>
        <v>0.6673798085691548</v>
      </c>
      <c r="X95" s="230">
        <f t="shared" si="77"/>
        <v>0</v>
      </c>
    </row>
    <row r="96" spans="1:24" x14ac:dyDescent="0.25">
      <c r="A96" s="66" t="s">
        <v>1031</v>
      </c>
      <c r="B96" s="66" t="s">
        <v>819</v>
      </c>
      <c r="C96" s="67">
        <f>SUM(C97)</f>
        <v>216959602</v>
      </c>
      <c r="D96" s="67">
        <f t="shared" ref="D96:J96" si="84">SUM(D97)</f>
        <v>0</v>
      </c>
      <c r="E96" s="67">
        <f t="shared" si="84"/>
        <v>0</v>
      </c>
      <c r="F96" s="67">
        <f t="shared" si="84"/>
        <v>216959602</v>
      </c>
      <c r="G96" s="67">
        <f t="shared" si="84"/>
        <v>144794457.65000001</v>
      </c>
      <c r="H96" s="67">
        <f t="shared" si="84"/>
        <v>37892211.170000002</v>
      </c>
      <c r="I96" s="67">
        <f t="shared" si="84"/>
        <v>144794457.65000001</v>
      </c>
      <c r="J96" s="67">
        <f t="shared" si="84"/>
        <v>72165144.350000009</v>
      </c>
      <c r="K96" s="68">
        <f t="shared" si="68"/>
        <v>0.6673798085691548</v>
      </c>
      <c r="L96" s="98"/>
      <c r="M96" s="66" t="s">
        <v>1031</v>
      </c>
      <c r="N96" s="66" t="s">
        <v>819</v>
      </c>
      <c r="O96" s="67">
        <f>SUM(O97)</f>
        <v>216959602</v>
      </c>
      <c r="P96" s="67">
        <f t="shared" ref="P96:V96" si="85">SUM(P97)</f>
        <v>0</v>
      </c>
      <c r="Q96" s="67">
        <f t="shared" si="85"/>
        <v>0</v>
      </c>
      <c r="R96" s="67">
        <f t="shared" si="85"/>
        <v>216959602</v>
      </c>
      <c r="S96" s="67">
        <f t="shared" si="85"/>
        <v>81830509.480000004</v>
      </c>
      <c r="T96" s="67">
        <f t="shared" si="85"/>
        <v>37892211.170000002</v>
      </c>
      <c r="U96" s="67">
        <f t="shared" si="85"/>
        <v>144794457.65000001</v>
      </c>
      <c r="V96" s="67">
        <f t="shared" si="85"/>
        <v>72165144.350000009</v>
      </c>
      <c r="W96" s="68">
        <f t="shared" si="70"/>
        <v>0.6673798085691548</v>
      </c>
      <c r="X96" s="230">
        <f t="shared" si="77"/>
        <v>0</v>
      </c>
    </row>
    <row r="97" spans="1:24" x14ac:dyDescent="0.25">
      <c r="A97" s="69" t="s">
        <v>1032</v>
      </c>
      <c r="B97" s="69" t="s">
        <v>819</v>
      </c>
      <c r="C97" s="70">
        <f>C98+C99+C100+C101+C102+C103+C105+C106+C107+C108+C109+C110+C111+C112</f>
        <v>216959602</v>
      </c>
      <c r="D97" s="70">
        <f t="shared" ref="D97:J97" si="86">D98+D99+D100+D101+D102+D103+D105+D106+D107+D108+D109+D110+D111+D112</f>
        <v>0</v>
      </c>
      <c r="E97" s="70">
        <f t="shared" si="86"/>
        <v>0</v>
      </c>
      <c r="F97" s="70">
        <f t="shared" si="86"/>
        <v>216959602</v>
      </c>
      <c r="G97" s="70">
        <f t="shared" si="86"/>
        <v>144794457.65000001</v>
      </c>
      <c r="H97" s="70">
        <f t="shared" si="86"/>
        <v>37892211.170000002</v>
      </c>
      <c r="I97" s="70">
        <f t="shared" si="86"/>
        <v>144794457.65000001</v>
      </c>
      <c r="J97" s="70">
        <f t="shared" si="86"/>
        <v>72165144.350000009</v>
      </c>
      <c r="K97" s="71">
        <f t="shared" si="68"/>
        <v>0.6673798085691548</v>
      </c>
      <c r="L97" s="98"/>
      <c r="M97" s="69" t="s">
        <v>1032</v>
      </c>
      <c r="N97" s="69" t="s">
        <v>819</v>
      </c>
      <c r="O97" s="70">
        <f>O98+O99+O100+O101+O102+O103+O105+O106+O107+O108+O109+O110+O111+O112</f>
        <v>216959602</v>
      </c>
      <c r="P97" s="70">
        <f t="shared" ref="P97:V97" si="87">P98+P99+P100+P101+P102+P103+P105+P106+P107+P108+P109+P110+P111+P112</f>
        <v>0</v>
      </c>
      <c r="Q97" s="70">
        <f t="shared" si="87"/>
        <v>0</v>
      </c>
      <c r="R97" s="70">
        <f t="shared" si="87"/>
        <v>216959602</v>
      </c>
      <c r="S97" s="70">
        <f t="shared" si="87"/>
        <v>81830509.480000004</v>
      </c>
      <c r="T97" s="70">
        <f t="shared" si="87"/>
        <v>37892211.170000002</v>
      </c>
      <c r="U97" s="70">
        <f t="shared" si="87"/>
        <v>144794457.65000001</v>
      </c>
      <c r="V97" s="70">
        <f t="shared" si="87"/>
        <v>72165144.350000009</v>
      </c>
      <c r="W97" s="71">
        <f t="shared" si="70"/>
        <v>0.6673798085691548</v>
      </c>
      <c r="X97" s="230">
        <f t="shared" si="77"/>
        <v>0</v>
      </c>
    </row>
    <row r="98" spans="1:24" x14ac:dyDescent="0.25">
      <c r="A98" s="99" t="s">
        <v>1033</v>
      </c>
      <c r="B98" s="84" t="s">
        <v>820</v>
      </c>
      <c r="C98" s="73">
        <f>C104</f>
        <v>216959602</v>
      </c>
      <c r="D98" s="81"/>
      <c r="E98" s="73"/>
      <c r="F98" s="86">
        <f t="shared" ref="F98:F112" si="88">+C98+D98-E98</f>
        <v>216959602</v>
      </c>
      <c r="G98" s="95">
        <v>18056523.640000001</v>
      </c>
      <c r="H98" s="73">
        <v>5447890.6400000006</v>
      </c>
      <c r="I98" s="95">
        <v>18056523.640000001</v>
      </c>
      <c r="J98" s="75">
        <f t="shared" ref="J98:J112" si="89">+F98-I98</f>
        <v>198903078.36000001</v>
      </c>
      <c r="K98" s="76">
        <f t="shared" si="68"/>
        <v>8.322528006849865E-2</v>
      </c>
      <c r="L98" s="98"/>
      <c r="M98" s="99" t="s">
        <v>1033</v>
      </c>
      <c r="N98" s="84" t="s">
        <v>820</v>
      </c>
      <c r="O98" s="73">
        <f>O104</f>
        <v>216959602</v>
      </c>
      <c r="P98" s="81"/>
      <c r="Q98" s="73"/>
      <c r="R98" s="86">
        <f t="shared" ref="R98:R112" si="90">+O98+P98-Q98</f>
        <v>216959602</v>
      </c>
      <c r="S98" s="95">
        <v>12608633</v>
      </c>
      <c r="T98" s="73">
        <f>T104+T105</f>
        <v>5447890.6400000006</v>
      </c>
      <c r="U98" s="95">
        <f>12608633+T98</f>
        <v>18056523.640000001</v>
      </c>
      <c r="V98" s="75">
        <f t="shared" ref="V98:V112" si="91">+R98-U98</f>
        <v>198903078.36000001</v>
      </c>
      <c r="W98" s="76">
        <f t="shared" si="70"/>
        <v>8.322528006849865E-2</v>
      </c>
      <c r="X98" s="230">
        <f t="shared" si="77"/>
        <v>0</v>
      </c>
    </row>
    <row r="99" spans="1:24" x14ac:dyDescent="0.25">
      <c r="A99" s="99" t="s">
        <v>1034</v>
      </c>
      <c r="B99" s="84" t="s">
        <v>821</v>
      </c>
      <c r="C99" s="73"/>
      <c r="D99" s="81"/>
      <c r="E99" s="81"/>
      <c r="F99" s="86">
        <f t="shared" si="88"/>
        <v>0</v>
      </c>
      <c r="G99" s="95">
        <v>13014444.280000001</v>
      </c>
      <c r="H99" s="74">
        <v>4608219.28</v>
      </c>
      <c r="I99" s="95">
        <v>13014444.280000001</v>
      </c>
      <c r="J99" s="75">
        <f t="shared" si="89"/>
        <v>-13014444.280000001</v>
      </c>
      <c r="K99" s="90" t="e">
        <f t="shared" si="68"/>
        <v>#DIV/0!</v>
      </c>
      <c r="L99" s="98"/>
      <c r="M99" s="99" t="s">
        <v>1034</v>
      </c>
      <c r="N99" s="84" t="s">
        <v>821</v>
      </c>
      <c r="O99" s="73"/>
      <c r="P99" s="81"/>
      <c r="Q99" s="81"/>
      <c r="R99" s="86">
        <f t="shared" si="90"/>
        <v>0</v>
      </c>
      <c r="S99" s="95">
        <v>5143759</v>
      </c>
      <c r="T99" s="74">
        <v>4608219.28</v>
      </c>
      <c r="U99" s="95">
        <f>8406225+T99</f>
        <v>13014444.280000001</v>
      </c>
      <c r="V99" s="75">
        <f t="shared" si="91"/>
        <v>-13014444.280000001</v>
      </c>
      <c r="W99" s="90" t="e">
        <f t="shared" si="70"/>
        <v>#DIV/0!</v>
      </c>
      <c r="X99" s="230">
        <f t="shared" si="77"/>
        <v>0</v>
      </c>
    </row>
    <row r="100" spans="1:24" x14ac:dyDescent="0.25">
      <c r="A100" s="99" t="s">
        <v>1035</v>
      </c>
      <c r="B100" s="84" t="s">
        <v>822</v>
      </c>
      <c r="C100" s="73"/>
      <c r="D100" s="74"/>
      <c r="E100" s="85"/>
      <c r="F100" s="86">
        <f t="shared" si="88"/>
        <v>0</v>
      </c>
      <c r="G100" s="95">
        <v>19691564</v>
      </c>
      <c r="H100" s="74">
        <v>3575137</v>
      </c>
      <c r="I100" s="95">
        <v>19691564</v>
      </c>
      <c r="J100" s="75">
        <f t="shared" si="89"/>
        <v>-19691564</v>
      </c>
      <c r="K100" s="87" t="e">
        <f t="shared" si="68"/>
        <v>#DIV/0!</v>
      </c>
      <c r="L100" s="98"/>
      <c r="M100" s="99" t="s">
        <v>1035</v>
      </c>
      <c r="N100" s="84" t="s">
        <v>822</v>
      </c>
      <c r="O100" s="73"/>
      <c r="P100" s="74"/>
      <c r="Q100" s="85"/>
      <c r="R100" s="86">
        <f t="shared" si="90"/>
        <v>0</v>
      </c>
      <c r="S100" s="95">
        <v>12491659</v>
      </c>
      <c r="T100" s="74">
        <v>3575137</v>
      </c>
      <c r="U100" s="95">
        <f>16116427+T100</f>
        <v>19691564</v>
      </c>
      <c r="V100" s="75">
        <f t="shared" si="91"/>
        <v>-19691564</v>
      </c>
      <c r="W100" s="87" t="e">
        <f t="shared" si="70"/>
        <v>#DIV/0!</v>
      </c>
      <c r="X100" s="230">
        <f t="shared" si="77"/>
        <v>0</v>
      </c>
    </row>
    <row r="101" spans="1:24" x14ac:dyDescent="0.25">
      <c r="A101" s="99" t="s">
        <v>1036</v>
      </c>
      <c r="B101" s="84" t="s">
        <v>823</v>
      </c>
      <c r="C101" s="73"/>
      <c r="D101" s="74"/>
      <c r="E101" s="85"/>
      <c r="F101" s="86">
        <f t="shared" si="88"/>
        <v>0</v>
      </c>
      <c r="G101" s="95">
        <v>3505582.59</v>
      </c>
      <c r="H101" s="74"/>
      <c r="I101" s="95">
        <v>3505582.59</v>
      </c>
      <c r="J101" s="75">
        <f t="shared" si="89"/>
        <v>-3505582.59</v>
      </c>
      <c r="K101" s="87" t="e">
        <f t="shared" si="68"/>
        <v>#DIV/0!</v>
      </c>
      <c r="L101" s="98"/>
      <c r="M101" s="99" t="s">
        <v>1036</v>
      </c>
      <c r="N101" s="84" t="s">
        <v>823</v>
      </c>
      <c r="O101" s="73"/>
      <c r="P101" s="74"/>
      <c r="Q101" s="85"/>
      <c r="R101" s="86">
        <f t="shared" si="90"/>
        <v>0</v>
      </c>
      <c r="S101" s="95">
        <v>2220523.59</v>
      </c>
      <c r="T101" s="74"/>
      <c r="U101" s="95">
        <f>3505582.59+T101</f>
        <v>3505582.59</v>
      </c>
      <c r="V101" s="75">
        <f t="shared" si="91"/>
        <v>-3505582.59</v>
      </c>
      <c r="W101" s="87" t="e">
        <f t="shared" si="70"/>
        <v>#DIV/0!</v>
      </c>
      <c r="X101" s="230">
        <f t="shared" si="77"/>
        <v>0</v>
      </c>
    </row>
    <row r="102" spans="1:24" x14ac:dyDescent="0.25">
      <c r="A102" s="99" t="s">
        <v>1037</v>
      </c>
      <c r="B102" s="84" t="s">
        <v>824</v>
      </c>
      <c r="C102" s="73"/>
      <c r="D102" s="81"/>
      <c r="E102" s="81"/>
      <c r="F102" s="100">
        <f t="shared" si="88"/>
        <v>0</v>
      </c>
      <c r="G102" s="95">
        <v>63683179.329999998</v>
      </c>
      <c r="H102" s="74">
        <v>19805331.440000001</v>
      </c>
      <c r="I102" s="95">
        <v>63683179.329999998</v>
      </c>
      <c r="J102" s="75">
        <f t="shared" si="89"/>
        <v>-63683179.329999998</v>
      </c>
      <c r="K102" s="90" t="e">
        <f t="shared" si="68"/>
        <v>#DIV/0!</v>
      </c>
      <c r="L102" s="98"/>
      <c r="M102" s="99" t="s">
        <v>1037</v>
      </c>
      <c r="N102" s="84" t="s">
        <v>824</v>
      </c>
      <c r="O102" s="73"/>
      <c r="P102" s="81"/>
      <c r="Q102" s="81"/>
      <c r="R102" s="100">
        <f t="shared" si="90"/>
        <v>0</v>
      </c>
      <c r="S102" s="95">
        <v>33649179.890000001</v>
      </c>
      <c r="T102" s="74">
        <v>19805331.440000001</v>
      </c>
      <c r="U102" s="95">
        <f>43877847.89+T102</f>
        <v>63683179.329999998</v>
      </c>
      <c r="V102" s="75">
        <f t="shared" si="91"/>
        <v>-63683179.329999998</v>
      </c>
      <c r="W102" s="90" t="e">
        <f t="shared" si="70"/>
        <v>#DIV/0!</v>
      </c>
      <c r="X102" s="230">
        <f t="shared" si="77"/>
        <v>0</v>
      </c>
    </row>
    <row r="103" spans="1:24" x14ac:dyDescent="0.25">
      <c r="A103" s="99" t="s">
        <v>1038</v>
      </c>
      <c r="B103" s="84" t="s">
        <v>825</v>
      </c>
      <c r="C103" s="73"/>
      <c r="D103" s="81"/>
      <c r="E103" s="81"/>
      <c r="F103" s="100">
        <f t="shared" si="88"/>
        <v>0</v>
      </c>
      <c r="G103" s="95">
        <v>2213012</v>
      </c>
      <c r="H103" s="74"/>
      <c r="I103" s="95">
        <v>2213012</v>
      </c>
      <c r="J103" s="75">
        <f t="shared" si="89"/>
        <v>-2213012</v>
      </c>
      <c r="K103" s="90" t="e">
        <f t="shared" si="68"/>
        <v>#DIV/0!</v>
      </c>
      <c r="L103" s="98"/>
      <c r="M103" s="99" t="s">
        <v>1038</v>
      </c>
      <c r="N103" s="84" t="s">
        <v>825</v>
      </c>
      <c r="O103" s="73"/>
      <c r="P103" s="81"/>
      <c r="Q103" s="81"/>
      <c r="R103" s="100">
        <f t="shared" si="90"/>
        <v>0</v>
      </c>
      <c r="S103" s="95">
        <v>2213012</v>
      </c>
      <c r="T103" s="74"/>
      <c r="U103" s="95">
        <f>2213012+T103</f>
        <v>2213012</v>
      </c>
      <c r="V103" s="75">
        <f t="shared" si="91"/>
        <v>-2213012</v>
      </c>
      <c r="W103" s="90" t="e">
        <f t="shared" si="70"/>
        <v>#DIV/0!</v>
      </c>
      <c r="X103" s="230">
        <f t="shared" si="77"/>
        <v>0</v>
      </c>
    </row>
    <row r="104" spans="1:24" x14ac:dyDescent="0.25">
      <c r="A104" s="99" t="s">
        <v>1039</v>
      </c>
      <c r="B104" s="84" t="s">
        <v>1040</v>
      </c>
      <c r="C104" s="73">
        <v>216959602</v>
      </c>
      <c r="D104" s="81"/>
      <c r="E104" s="81"/>
      <c r="F104" s="100">
        <f t="shared" si="88"/>
        <v>216959602</v>
      </c>
      <c r="G104" s="95">
        <v>31936161.859999999</v>
      </c>
      <c r="H104" s="74">
        <v>4311885.8600000003</v>
      </c>
      <c r="I104" s="95">
        <v>31936161.859999999</v>
      </c>
      <c r="J104" s="75">
        <f t="shared" si="89"/>
        <v>185023440.13999999</v>
      </c>
      <c r="K104" s="90">
        <f t="shared" si="68"/>
        <v>0.14719865618116315</v>
      </c>
      <c r="L104" s="98"/>
      <c r="M104" s="99" t="s">
        <v>1039</v>
      </c>
      <c r="N104" s="84" t="s">
        <v>1040</v>
      </c>
      <c r="O104" s="73">
        <v>216959602</v>
      </c>
      <c r="P104" s="81"/>
      <c r="Q104" s="81"/>
      <c r="R104" s="100">
        <f t="shared" si="90"/>
        <v>216959602</v>
      </c>
      <c r="S104" s="95">
        <v>19324559</v>
      </c>
      <c r="T104" s="74">
        <v>4311885.8600000003</v>
      </c>
      <c r="U104" s="95">
        <f>27624276+T104</f>
        <v>31936161.859999999</v>
      </c>
      <c r="V104" s="75">
        <f t="shared" si="91"/>
        <v>185023440.13999999</v>
      </c>
      <c r="W104" s="90">
        <f t="shared" si="70"/>
        <v>0.14719865618116315</v>
      </c>
      <c r="X104" s="230">
        <f t="shared" si="77"/>
        <v>0</v>
      </c>
    </row>
    <row r="105" spans="1:24" x14ac:dyDescent="0.25">
      <c r="A105" s="99" t="s">
        <v>1041</v>
      </c>
      <c r="B105" s="84" t="s">
        <v>1042</v>
      </c>
      <c r="C105" s="73"/>
      <c r="D105" s="81"/>
      <c r="E105" s="81"/>
      <c r="F105" s="100">
        <f t="shared" si="88"/>
        <v>0</v>
      </c>
      <c r="G105" s="95">
        <v>5797912.7800000003</v>
      </c>
      <c r="H105" s="74">
        <v>1136004.78</v>
      </c>
      <c r="I105" s="95">
        <v>5797912.7800000003</v>
      </c>
      <c r="J105" s="75">
        <f t="shared" si="89"/>
        <v>-5797912.7800000003</v>
      </c>
      <c r="K105" s="90" t="e">
        <f t="shared" si="68"/>
        <v>#DIV/0!</v>
      </c>
      <c r="L105" s="98"/>
      <c r="M105" s="99" t="s">
        <v>1041</v>
      </c>
      <c r="N105" s="84" t="s">
        <v>1042</v>
      </c>
      <c r="O105" s="73"/>
      <c r="P105" s="81"/>
      <c r="Q105" s="81"/>
      <c r="R105" s="100">
        <f t="shared" si="90"/>
        <v>0</v>
      </c>
      <c r="S105" s="95">
        <v>2760217</v>
      </c>
      <c r="T105" s="74">
        <v>1136004.78</v>
      </c>
      <c r="U105" s="95">
        <f>4661908+T105</f>
        <v>5797912.7800000003</v>
      </c>
      <c r="V105" s="75">
        <f t="shared" si="91"/>
        <v>-5797912.7800000003</v>
      </c>
      <c r="W105" s="90" t="e">
        <f t="shared" si="70"/>
        <v>#DIV/0!</v>
      </c>
      <c r="X105" s="230">
        <f t="shared" si="77"/>
        <v>0</v>
      </c>
    </row>
    <row r="106" spans="1:24" x14ac:dyDescent="0.25">
      <c r="A106" s="99" t="s">
        <v>1043</v>
      </c>
      <c r="B106" s="84" t="s">
        <v>1044</v>
      </c>
      <c r="C106" s="73"/>
      <c r="D106" s="81"/>
      <c r="E106" s="81"/>
      <c r="F106" s="100">
        <f t="shared" si="88"/>
        <v>0</v>
      </c>
      <c r="G106" s="95">
        <v>0</v>
      </c>
      <c r="H106" s="74"/>
      <c r="I106" s="95">
        <v>0</v>
      </c>
      <c r="J106" s="75">
        <f t="shared" si="89"/>
        <v>0</v>
      </c>
      <c r="K106" s="90" t="e">
        <f t="shared" si="68"/>
        <v>#DIV/0!</v>
      </c>
      <c r="L106" s="98"/>
      <c r="M106" s="99" t="s">
        <v>1043</v>
      </c>
      <c r="N106" s="84" t="s">
        <v>1044</v>
      </c>
      <c r="O106" s="73"/>
      <c r="P106" s="81"/>
      <c r="Q106" s="81"/>
      <c r="R106" s="100">
        <f t="shared" si="90"/>
        <v>0</v>
      </c>
      <c r="S106" s="95">
        <v>0</v>
      </c>
      <c r="T106" s="74"/>
      <c r="U106" s="95">
        <f>T106</f>
        <v>0</v>
      </c>
      <c r="V106" s="75">
        <f t="shared" si="91"/>
        <v>0</v>
      </c>
      <c r="W106" s="90" t="e">
        <f t="shared" si="70"/>
        <v>#DIV/0!</v>
      </c>
      <c r="X106" s="230">
        <f t="shared" si="77"/>
        <v>0</v>
      </c>
    </row>
    <row r="107" spans="1:24" s="101" customFormat="1" x14ac:dyDescent="0.25">
      <c r="A107" s="99" t="s">
        <v>1045</v>
      </c>
      <c r="B107" s="84" t="s">
        <v>1046</v>
      </c>
      <c r="C107" s="73"/>
      <c r="D107" s="81"/>
      <c r="E107" s="81"/>
      <c r="F107" s="100">
        <f t="shared" si="88"/>
        <v>0</v>
      </c>
      <c r="G107" s="95">
        <v>1830251.03</v>
      </c>
      <c r="H107" s="74">
        <v>276255.03000000003</v>
      </c>
      <c r="I107" s="95">
        <v>1830251.03</v>
      </c>
      <c r="J107" s="75">
        <f t="shared" si="89"/>
        <v>-1830251.03</v>
      </c>
      <c r="K107" s="90" t="e">
        <f t="shared" si="68"/>
        <v>#DIV/0!</v>
      </c>
      <c r="L107" s="98"/>
      <c r="M107" s="99" t="s">
        <v>1045</v>
      </c>
      <c r="N107" s="84" t="s">
        <v>1046</v>
      </c>
      <c r="O107" s="73"/>
      <c r="P107" s="81"/>
      <c r="Q107" s="81"/>
      <c r="R107" s="100">
        <f t="shared" si="90"/>
        <v>0</v>
      </c>
      <c r="S107" s="95">
        <v>1205394</v>
      </c>
      <c r="T107" s="74">
        <v>276255.03000000003</v>
      </c>
      <c r="U107" s="95">
        <f>1553996+T107</f>
        <v>1830251.03</v>
      </c>
      <c r="V107" s="75">
        <f t="shared" si="91"/>
        <v>-1830251.03</v>
      </c>
      <c r="W107" s="90" t="e">
        <f t="shared" si="70"/>
        <v>#DIV/0!</v>
      </c>
      <c r="X107" s="230">
        <f t="shared" si="77"/>
        <v>0</v>
      </c>
    </row>
    <row r="108" spans="1:24" s="101" customFormat="1" x14ac:dyDescent="0.25">
      <c r="A108" s="99" t="s">
        <v>1047</v>
      </c>
      <c r="B108" s="84" t="s">
        <v>1048</v>
      </c>
      <c r="C108" s="73"/>
      <c r="D108" s="81"/>
      <c r="E108" s="81"/>
      <c r="F108" s="100">
        <f t="shared" si="88"/>
        <v>0</v>
      </c>
      <c r="G108" s="95">
        <v>10188156</v>
      </c>
      <c r="H108" s="74">
        <v>1992299</v>
      </c>
      <c r="I108" s="95">
        <v>10188156</v>
      </c>
      <c r="J108" s="75">
        <f t="shared" si="89"/>
        <v>-10188156</v>
      </c>
      <c r="K108" s="90" t="e">
        <f t="shared" si="68"/>
        <v>#DIV/0!</v>
      </c>
      <c r="L108" s="98"/>
      <c r="M108" s="99" t="s">
        <v>1047</v>
      </c>
      <c r="N108" s="84" t="s">
        <v>1048</v>
      </c>
      <c r="O108" s="73"/>
      <c r="P108" s="81"/>
      <c r="Q108" s="81"/>
      <c r="R108" s="100">
        <f t="shared" si="90"/>
        <v>0</v>
      </c>
      <c r="S108" s="95">
        <v>4849340</v>
      </c>
      <c r="T108" s="74">
        <v>1992299</v>
      </c>
      <c r="U108" s="95">
        <f>8195857+T108</f>
        <v>10188156</v>
      </c>
      <c r="V108" s="75">
        <f t="shared" si="91"/>
        <v>-10188156</v>
      </c>
      <c r="W108" s="90" t="e">
        <f t="shared" si="70"/>
        <v>#DIV/0!</v>
      </c>
      <c r="X108" s="230">
        <f t="shared" si="77"/>
        <v>0</v>
      </c>
    </row>
    <row r="109" spans="1:24" s="101" customFormat="1" x14ac:dyDescent="0.25">
      <c r="A109" s="99" t="s">
        <v>1049</v>
      </c>
      <c r="B109" s="84" t="s">
        <v>1050</v>
      </c>
      <c r="C109" s="73"/>
      <c r="D109" s="81"/>
      <c r="E109" s="81"/>
      <c r="F109" s="100">
        <f t="shared" si="88"/>
        <v>0</v>
      </c>
      <c r="G109" s="95">
        <v>1880187</v>
      </c>
      <c r="H109" s="74"/>
      <c r="I109" s="95">
        <v>1880187</v>
      </c>
      <c r="J109" s="75">
        <f t="shared" si="89"/>
        <v>-1880187</v>
      </c>
      <c r="K109" s="90" t="e">
        <f t="shared" si="68"/>
        <v>#DIV/0!</v>
      </c>
      <c r="L109" s="98"/>
      <c r="M109" s="99" t="s">
        <v>1049</v>
      </c>
      <c r="N109" s="84" t="s">
        <v>1050</v>
      </c>
      <c r="O109" s="73"/>
      <c r="P109" s="81"/>
      <c r="Q109" s="81"/>
      <c r="R109" s="100">
        <f t="shared" si="90"/>
        <v>0</v>
      </c>
      <c r="S109" s="95">
        <v>1876113</v>
      </c>
      <c r="T109" s="74"/>
      <c r="U109" s="95">
        <f>1880187+T109</f>
        <v>1880187</v>
      </c>
      <c r="V109" s="75">
        <f t="shared" si="91"/>
        <v>-1880187</v>
      </c>
      <c r="W109" s="90" t="e">
        <f t="shared" si="70"/>
        <v>#DIV/0!</v>
      </c>
      <c r="X109" s="230">
        <f t="shared" si="77"/>
        <v>0</v>
      </c>
    </row>
    <row r="110" spans="1:24" x14ac:dyDescent="0.25">
      <c r="A110" s="99" t="s">
        <v>1051</v>
      </c>
      <c r="B110" s="84" t="s">
        <v>1052</v>
      </c>
      <c r="C110" s="73"/>
      <c r="D110" s="81"/>
      <c r="E110" s="81"/>
      <c r="F110" s="100">
        <f t="shared" si="88"/>
        <v>0</v>
      </c>
      <c r="G110" s="95">
        <v>423295</v>
      </c>
      <c r="H110" s="74">
        <v>121043</v>
      </c>
      <c r="I110" s="95">
        <v>423295</v>
      </c>
      <c r="J110" s="75">
        <f t="shared" si="89"/>
        <v>-423295</v>
      </c>
      <c r="K110" s="90" t="e">
        <f t="shared" si="68"/>
        <v>#DIV/0!</v>
      </c>
      <c r="L110" s="98"/>
      <c r="M110" s="99" t="s">
        <v>1051</v>
      </c>
      <c r="N110" s="84" t="s">
        <v>1052</v>
      </c>
      <c r="O110" s="73"/>
      <c r="P110" s="81"/>
      <c r="Q110" s="81"/>
      <c r="R110" s="100">
        <f t="shared" si="90"/>
        <v>0</v>
      </c>
      <c r="S110" s="95">
        <v>185233</v>
      </c>
      <c r="T110" s="74">
        <f>120847+196</f>
        <v>121043</v>
      </c>
      <c r="U110" s="95">
        <f>302252+T110</f>
        <v>423295</v>
      </c>
      <c r="V110" s="75">
        <f t="shared" si="91"/>
        <v>-423295</v>
      </c>
      <c r="W110" s="90" t="e">
        <f t="shared" si="70"/>
        <v>#DIV/0!</v>
      </c>
      <c r="X110" s="230">
        <f t="shared" si="77"/>
        <v>0</v>
      </c>
    </row>
    <row r="111" spans="1:24" x14ac:dyDescent="0.25">
      <c r="A111" s="99" t="s">
        <v>1053</v>
      </c>
      <c r="B111" s="84" t="s">
        <v>1054</v>
      </c>
      <c r="C111" s="73"/>
      <c r="D111" s="81"/>
      <c r="E111" s="81"/>
      <c r="F111" s="100">
        <f t="shared" si="88"/>
        <v>0</v>
      </c>
      <c r="G111" s="95">
        <v>1696990</v>
      </c>
      <c r="H111" s="74">
        <v>348839</v>
      </c>
      <c r="I111" s="95">
        <v>1696990</v>
      </c>
      <c r="J111" s="75">
        <f t="shared" si="89"/>
        <v>-1696990</v>
      </c>
      <c r="K111" s="90" t="e">
        <f t="shared" si="68"/>
        <v>#DIV/0!</v>
      </c>
      <c r="L111" s="98"/>
      <c r="M111" s="99" t="s">
        <v>1053</v>
      </c>
      <c r="N111" s="84" t="s">
        <v>1054</v>
      </c>
      <c r="O111" s="73"/>
      <c r="P111" s="81"/>
      <c r="Q111" s="81"/>
      <c r="R111" s="100">
        <f t="shared" si="90"/>
        <v>0</v>
      </c>
      <c r="S111" s="95">
        <v>995748</v>
      </c>
      <c r="T111" s="74">
        <v>348839</v>
      </c>
      <c r="U111" s="95">
        <f>1348151+T111</f>
        <v>1696990</v>
      </c>
      <c r="V111" s="75">
        <f t="shared" si="91"/>
        <v>-1696990</v>
      </c>
      <c r="W111" s="90" t="e">
        <f t="shared" si="70"/>
        <v>#DIV/0!</v>
      </c>
      <c r="X111" s="230">
        <f t="shared" si="77"/>
        <v>0</v>
      </c>
    </row>
    <row r="112" spans="1:24" x14ac:dyDescent="0.25">
      <c r="A112" s="99" t="s">
        <v>1055</v>
      </c>
      <c r="B112" s="84" t="s">
        <v>1056</v>
      </c>
      <c r="C112" s="73"/>
      <c r="D112" s="81"/>
      <c r="E112" s="81"/>
      <c r="F112" s="100">
        <f t="shared" si="88"/>
        <v>0</v>
      </c>
      <c r="G112" s="95">
        <v>2813360</v>
      </c>
      <c r="H112" s="74">
        <v>581192</v>
      </c>
      <c r="I112" s="95">
        <v>2813360</v>
      </c>
      <c r="J112" s="75">
        <f t="shared" si="89"/>
        <v>-2813360</v>
      </c>
      <c r="K112" s="90" t="e">
        <f t="shared" si="68"/>
        <v>#DIV/0!</v>
      </c>
      <c r="L112" s="98"/>
      <c r="M112" s="99" t="s">
        <v>1055</v>
      </c>
      <c r="N112" s="84" t="s">
        <v>1056</v>
      </c>
      <c r="O112" s="73"/>
      <c r="P112" s="81"/>
      <c r="Q112" s="81"/>
      <c r="R112" s="100">
        <f t="shared" si="90"/>
        <v>0</v>
      </c>
      <c r="S112" s="95">
        <v>1631698</v>
      </c>
      <c r="T112" s="74">
        <v>581192</v>
      </c>
      <c r="U112" s="95">
        <f>2232168+T112</f>
        <v>2813360</v>
      </c>
      <c r="V112" s="75">
        <f t="shared" si="91"/>
        <v>-2813360</v>
      </c>
      <c r="W112" s="90" t="e">
        <f t="shared" si="70"/>
        <v>#DIV/0!</v>
      </c>
      <c r="X112" s="230">
        <f t="shared" si="77"/>
        <v>0</v>
      </c>
    </row>
    <row r="113" spans="1:24" x14ac:dyDescent="0.25">
      <c r="A113" s="66" t="s">
        <v>1057</v>
      </c>
      <c r="B113" s="66" t="s">
        <v>826</v>
      </c>
      <c r="C113" s="67">
        <f>+C114</f>
        <v>0</v>
      </c>
      <c r="D113" s="67">
        <f t="shared" ref="D113:J116" si="92">+D114</f>
        <v>0</v>
      </c>
      <c r="E113" s="67">
        <f t="shared" si="92"/>
        <v>0</v>
      </c>
      <c r="F113" s="67">
        <f t="shared" si="92"/>
        <v>0</v>
      </c>
      <c r="G113" s="67">
        <f t="shared" si="92"/>
        <v>0</v>
      </c>
      <c r="H113" s="67">
        <f t="shared" si="92"/>
        <v>0</v>
      </c>
      <c r="I113" s="67">
        <f t="shared" si="92"/>
        <v>0</v>
      </c>
      <c r="J113" s="67">
        <f t="shared" si="92"/>
        <v>0</v>
      </c>
      <c r="K113" s="68" t="e">
        <f t="shared" si="68"/>
        <v>#DIV/0!</v>
      </c>
      <c r="L113" s="98"/>
      <c r="M113" s="66" t="s">
        <v>1057</v>
      </c>
      <c r="N113" s="66" t="s">
        <v>826</v>
      </c>
      <c r="O113" s="67">
        <f>+O114</f>
        <v>0</v>
      </c>
      <c r="P113" s="67">
        <f t="shared" ref="P113:V116" si="93">+P114</f>
        <v>0</v>
      </c>
      <c r="Q113" s="67">
        <f t="shared" si="93"/>
        <v>0</v>
      </c>
      <c r="R113" s="67">
        <f t="shared" si="93"/>
        <v>0</v>
      </c>
      <c r="S113" s="67">
        <f t="shared" si="93"/>
        <v>0</v>
      </c>
      <c r="T113" s="67">
        <f t="shared" si="93"/>
        <v>0</v>
      </c>
      <c r="U113" s="67">
        <f t="shared" si="93"/>
        <v>0</v>
      </c>
      <c r="V113" s="67">
        <f t="shared" si="93"/>
        <v>0</v>
      </c>
      <c r="W113" s="68" t="e">
        <f t="shared" si="70"/>
        <v>#DIV/0!</v>
      </c>
      <c r="X113" s="230">
        <f t="shared" si="77"/>
        <v>0</v>
      </c>
    </row>
    <row r="114" spans="1:24" s="78" customFormat="1" x14ac:dyDescent="0.25">
      <c r="A114" s="66" t="s">
        <v>1058</v>
      </c>
      <c r="B114" s="66" t="s">
        <v>826</v>
      </c>
      <c r="C114" s="67">
        <f>+C115</f>
        <v>0</v>
      </c>
      <c r="D114" s="67">
        <f t="shared" si="92"/>
        <v>0</v>
      </c>
      <c r="E114" s="67">
        <f t="shared" si="92"/>
        <v>0</v>
      </c>
      <c r="F114" s="67">
        <f t="shared" si="92"/>
        <v>0</v>
      </c>
      <c r="G114" s="67">
        <f t="shared" si="92"/>
        <v>0</v>
      </c>
      <c r="H114" s="67">
        <f t="shared" si="92"/>
        <v>0</v>
      </c>
      <c r="I114" s="67">
        <f t="shared" si="92"/>
        <v>0</v>
      </c>
      <c r="J114" s="67">
        <f t="shared" si="92"/>
        <v>0</v>
      </c>
      <c r="K114" s="68" t="e">
        <f t="shared" si="68"/>
        <v>#DIV/0!</v>
      </c>
      <c r="L114" s="98"/>
      <c r="M114" s="66" t="s">
        <v>1058</v>
      </c>
      <c r="N114" s="66" t="s">
        <v>826</v>
      </c>
      <c r="O114" s="67">
        <f>+O115</f>
        <v>0</v>
      </c>
      <c r="P114" s="67">
        <f t="shared" si="93"/>
        <v>0</v>
      </c>
      <c r="Q114" s="67">
        <f t="shared" si="93"/>
        <v>0</v>
      </c>
      <c r="R114" s="67">
        <f t="shared" si="93"/>
        <v>0</v>
      </c>
      <c r="S114" s="67">
        <f t="shared" si="93"/>
        <v>0</v>
      </c>
      <c r="T114" s="67">
        <f t="shared" si="93"/>
        <v>0</v>
      </c>
      <c r="U114" s="67">
        <f t="shared" si="93"/>
        <v>0</v>
      </c>
      <c r="V114" s="67">
        <f t="shared" si="93"/>
        <v>0</v>
      </c>
      <c r="W114" s="68" t="e">
        <f t="shared" si="70"/>
        <v>#DIV/0!</v>
      </c>
      <c r="X114" s="230">
        <f t="shared" si="77"/>
        <v>0</v>
      </c>
    </row>
    <row r="115" spans="1:24" x14ac:dyDescent="0.25">
      <c r="A115" s="66" t="s">
        <v>1059</v>
      </c>
      <c r="B115" s="66" t="s">
        <v>826</v>
      </c>
      <c r="C115" s="67">
        <f>+C116</f>
        <v>0</v>
      </c>
      <c r="D115" s="67">
        <f t="shared" si="92"/>
        <v>0</v>
      </c>
      <c r="E115" s="67">
        <f t="shared" si="92"/>
        <v>0</v>
      </c>
      <c r="F115" s="67">
        <f t="shared" si="92"/>
        <v>0</v>
      </c>
      <c r="G115" s="67">
        <f t="shared" si="92"/>
        <v>0</v>
      </c>
      <c r="H115" s="67">
        <f t="shared" si="92"/>
        <v>0</v>
      </c>
      <c r="I115" s="67">
        <f t="shared" si="92"/>
        <v>0</v>
      </c>
      <c r="J115" s="67">
        <f t="shared" si="92"/>
        <v>0</v>
      </c>
      <c r="K115" s="68" t="e">
        <f t="shared" si="68"/>
        <v>#DIV/0!</v>
      </c>
      <c r="L115" s="98"/>
      <c r="M115" s="66" t="s">
        <v>1059</v>
      </c>
      <c r="N115" s="66" t="s">
        <v>826</v>
      </c>
      <c r="O115" s="67">
        <f>+O116</f>
        <v>0</v>
      </c>
      <c r="P115" s="67">
        <f t="shared" si="93"/>
        <v>0</v>
      </c>
      <c r="Q115" s="67">
        <f t="shared" si="93"/>
        <v>0</v>
      </c>
      <c r="R115" s="67">
        <f t="shared" si="93"/>
        <v>0</v>
      </c>
      <c r="S115" s="67">
        <f t="shared" si="93"/>
        <v>0</v>
      </c>
      <c r="T115" s="67">
        <f t="shared" si="93"/>
        <v>0</v>
      </c>
      <c r="U115" s="67">
        <f t="shared" si="93"/>
        <v>0</v>
      </c>
      <c r="V115" s="67">
        <f t="shared" si="93"/>
        <v>0</v>
      </c>
      <c r="W115" s="68" t="e">
        <f t="shared" si="70"/>
        <v>#DIV/0!</v>
      </c>
      <c r="X115" s="230">
        <f t="shared" si="77"/>
        <v>0</v>
      </c>
    </row>
    <row r="116" spans="1:24" x14ac:dyDescent="0.25">
      <c r="A116" s="69" t="s">
        <v>1060</v>
      </c>
      <c r="B116" s="69" t="s">
        <v>826</v>
      </c>
      <c r="C116" s="70">
        <f>+C117</f>
        <v>0</v>
      </c>
      <c r="D116" s="70">
        <f t="shared" si="92"/>
        <v>0</v>
      </c>
      <c r="E116" s="70">
        <f t="shared" si="92"/>
        <v>0</v>
      </c>
      <c r="F116" s="70">
        <f t="shared" si="92"/>
        <v>0</v>
      </c>
      <c r="G116" s="70">
        <f t="shared" si="92"/>
        <v>0</v>
      </c>
      <c r="H116" s="70">
        <f t="shared" si="92"/>
        <v>0</v>
      </c>
      <c r="I116" s="70">
        <f t="shared" si="92"/>
        <v>0</v>
      </c>
      <c r="J116" s="70">
        <f t="shared" si="92"/>
        <v>0</v>
      </c>
      <c r="K116" s="71" t="e">
        <f t="shared" si="68"/>
        <v>#DIV/0!</v>
      </c>
      <c r="L116" s="98"/>
      <c r="M116" s="69" t="s">
        <v>1060</v>
      </c>
      <c r="N116" s="69" t="s">
        <v>826</v>
      </c>
      <c r="O116" s="70">
        <f>+O117</f>
        <v>0</v>
      </c>
      <c r="P116" s="70">
        <f t="shared" si="93"/>
        <v>0</v>
      </c>
      <c r="Q116" s="70">
        <f t="shared" si="93"/>
        <v>0</v>
      </c>
      <c r="R116" s="70">
        <f t="shared" si="93"/>
        <v>0</v>
      </c>
      <c r="S116" s="70">
        <f t="shared" si="93"/>
        <v>0</v>
      </c>
      <c r="T116" s="70">
        <f t="shared" si="93"/>
        <v>0</v>
      </c>
      <c r="U116" s="70">
        <f t="shared" si="93"/>
        <v>0</v>
      </c>
      <c r="V116" s="70">
        <f t="shared" si="93"/>
        <v>0</v>
      </c>
      <c r="W116" s="71" t="e">
        <f t="shared" si="70"/>
        <v>#DIV/0!</v>
      </c>
      <c r="X116" s="230">
        <f t="shared" si="77"/>
        <v>0</v>
      </c>
    </row>
    <row r="117" spans="1:24" x14ac:dyDescent="0.25">
      <c r="A117" s="84" t="s">
        <v>1061</v>
      </c>
      <c r="B117" s="84" t="s">
        <v>826</v>
      </c>
      <c r="C117" s="73"/>
      <c r="D117" s="74"/>
      <c r="E117" s="73"/>
      <c r="F117" s="73">
        <f>+C117+D117-E117</f>
        <v>0</v>
      </c>
      <c r="G117" s="73"/>
      <c r="H117" s="73"/>
      <c r="I117" s="102"/>
      <c r="J117" s="75">
        <f>+F117-I117</f>
        <v>0</v>
      </c>
      <c r="K117" s="76" t="e">
        <f t="shared" si="68"/>
        <v>#DIV/0!</v>
      </c>
      <c r="L117" s="98"/>
      <c r="M117" s="84" t="s">
        <v>1061</v>
      </c>
      <c r="N117" s="84" t="s">
        <v>826</v>
      </c>
      <c r="O117" s="73"/>
      <c r="P117" s="74"/>
      <c r="Q117" s="73"/>
      <c r="R117" s="73">
        <f>+O117+P117-Q117</f>
        <v>0</v>
      </c>
      <c r="S117" s="73"/>
      <c r="T117" s="73"/>
      <c r="U117" s="102"/>
      <c r="V117" s="75">
        <f>+R117-U117</f>
        <v>0</v>
      </c>
      <c r="W117" s="76" t="e">
        <f t="shared" si="70"/>
        <v>#DIV/0!</v>
      </c>
      <c r="X117" s="230">
        <f t="shared" si="77"/>
        <v>0</v>
      </c>
    </row>
    <row r="118" spans="1:24" x14ac:dyDescent="0.25">
      <c r="A118" s="66" t="s">
        <v>1062</v>
      </c>
      <c r="B118" s="66" t="s">
        <v>827</v>
      </c>
      <c r="C118" s="67">
        <f>+C119</f>
        <v>0</v>
      </c>
      <c r="D118" s="67">
        <f t="shared" ref="D118:J120" si="94">+D119</f>
        <v>0</v>
      </c>
      <c r="E118" s="67">
        <f t="shared" si="94"/>
        <v>0</v>
      </c>
      <c r="F118" s="67">
        <f t="shared" si="94"/>
        <v>0</v>
      </c>
      <c r="G118" s="67">
        <f t="shared" si="94"/>
        <v>0</v>
      </c>
      <c r="H118" s="67">
        <f t="shared" si="94"/>
        <v>0</v>
      </c>
      <c r="I118" s="67">
        <f t="shared" si="94"/>
        <v>0</v>
      </c>
      <c r="J118" s="67">
        <f t="shared" si="94"/>
        <v>0</v>
      </c>
      <c r="K118" s="68" t="e">
        <f t="shared" si="68"/>
        <v>#DIV/0!</v>
      </c>
      <c r="L118" s="98"/>
      <c r="M118" s="66" t="s">
        <v>1062</v>
      </c>
      <c r="N118" s="66" t="s">
        <v>827</v>
      </c>
      <c r="O118" s="67">
        <f>+O119</f>
        <v>0</v>
      </c>
      <c r="P118" s="67">
        <f t="shared" ref="P118:V121" si="95">+P119</f>
        <v>0</v>
      </c>
      <c r="Q118" s="67">
        <f t="shared" si="95"/>
        <v>0</v>
      </c>
      <c r="R118" s="67">
        <f t="shared" si="95"/>
        <v>0</v>
      </c>
      <c r="S118" s="67">
        <f t="shared" si="95"/>
        <v>0</v>
      </c>
      <c r="T118" s="67">
        <f t="shared" si="95"/>
        <v>0</v>
      </c>
      <c r="U118" s="67">
        <f t="shared" si="95"/>
        <v>0</v>
      </c>
      <c r="V118" s="67">
        <f t="shared" si="95"/>
        <v>0</v>
      </c>
      <c r="W118" s="68" t="e">
        <f t="shared" si="70"/>
        <v>#DIV/0!</v>
      </c>
      <c r="X118" s="230">
        <f t="shared" si="77"/>
        <v>0</v>
      </c>
    </row>
    <row r="119" spans="1:24" x14ac:dyDescent="0.25">
      <c r="A119" s="66" t="s">
        <v>1063</v>
      </c>
      <c r="B119" s="66" t="s">
        <v>827</v>
      </c>
      <c r="C119" s="67">
        <f>+C120</f>
        <v>0</v>
      </c>
      <c r="D119" s="67">
        <f t="shared" si="94"/>
        <v>0</v>
      </c>
      <c r="E119" s="67">
        <f t="shared" si="94"/>
        <v>0</v>
      </c>
      <c r="F119" s="67">
        <f t="shared" si="94"/>
        <v>0</v>
      </c>
      <c r="G119" s="67">
        <f t="shared" si="94"/>
        <v>0</v>
      </c>
      <c r="H119" s="67">
        <f t="shared" si="94"/>
        <v>0</v>
      </c>
      <c r="I119" s="67">
        <f t="shared" si="94"/>
        <v>0</v>
      </c>
      <c r="J119" s="67">
        <f t="shared" si="94"/>
        <v>0</v>
      </c>
      <c r="K119" s="68" t="e">
        <f t="shared" si="68"/>
        <v>#DIV/0!</v>
      </c>
      <c r="L119" s="98"/>
      <c r="M119" s="66" t="s">
        <v>1063</v>
      </c>
      <c r="N119" s="66" t="s">
        <v>827</v>
      </c>
      <c r="O119" s="67">
        <f>+O120</f>
        <v>0</v>
      </c>
      <c r="P119" s="67">
        <f t="shared" si="95"/>
        <v>0</v>
      </c>
      <c r="Q119" s="67">
        <f t="shared" si="95"/>
        <v>0</v>
      </c>
      <c r="R119" s="67">
        <f t="shared" si="95"/>
        <v>0</v>
      </c>
      <c r="S119" s="67">
        <f t="shared" si="95"/>
        <v>0</v>
      </c>
      <c r="T119" s="67">
        <f t="shared" si="95"/>
        <v>0</v>
      </c>
      <c r="U119" s="67">
        <f t="shared" si="95"/>
        <v>0</v>
      </c>
      <c r="V119" s="67">
        <f t="shared" si="95"/>
        <v>0</v>
      </c>
      <c r="W119" s="68" t="e">
        <f t="shared" si="70"/>
        <v>#DIV/0!</v>
      </c>
      <c r="X119" s="230">
        <f t="shared" ref="X119:X145" si="96">+I120-G120</f>
        <v>0</v>
      </c>
    </row>
    <row r="120" spans="1:24" x14ac:dyDescent="0.25">
      <c r="A120" s="66" t="s">
        <v>1064</v>
      </c>
      <c r="B120" s="66" t="s">
        <v>827</v>
      </c>
      <c r="C120" s="67">
        <f>+C121</f>
        <v>0</v>
      </c>
      <c r="D120" s="67">
        <f t="shared" si="94"/>
        <v>0</v>
      </c>
      <c r="E120" s="67">
        <f t="shared" si="94"/>
        <v>0</v>
      </c>
      <c r="F120" s="67">
        <f t="shared" si="94"/>
        <v>0</v>
      </c>
      <c r="G120" s="67">
        <f t="shared" si="94"/>
        <v>0</v>
      </c>
      <c r="H120" s="67">
        <f t="shared" si="94"/>
        <v>0</v>
      </c>
      <c r="I120" s="67">
        <f t="shared" si="94"/>
        <v>0</v>
      </c>
      <c r="J120" s="67">
        <f t="shared" si="94"/>
        <v>0</v>
      </c>
      <c r="K120" s="68" t="e">
        <f t="shared" si="68"/>
        <v>#DIV/0!</v>
      </c>
      <c r="L120" s="98"/>
      <c r="M120" s="66" t="s">
        <v>1064</v>
      </c>
      <c r="N120" s="66" t="s">
        <v>827</v>
      </c>
      <c r="O120" s="67">
        <f>+O121</f>
        <v>0</v>
      </c>
      <c r="P120" s="67">
        <f t="shared" si="95"/>
        <v>0</v>
      </c>
      <c r="Q120" s="67">
        <f t="shared" si="95"/>
        <v>0</v>
      </c>
      <c r="R120" s="67">
        <f t="shared" si="95"/>
        <v>0</v>
      </c>
      <c r="S120" s="67">
        <f t="shared" si="95"/>
        <v>0</v>
      </c>
      <c r="T120" s="67">
        <f t="shared" si="95"/>
        <v>0</v>
      </c>
      <c r="U120" s="67">
        <f t="shared" si="95"/>
        <v>0</v>
      </c>
      <c r="V120" s="67">
        <f t="shared" si="95"/>
        <v>0</v>
      </c>
      <c r="W120" s="68" t="e">
        <f t="shared" si="70"/>
        <v>#DIV/0!</v>
      </c>
      <c r="X120" s="230">
        <f t="shared" si="96"/>
        <v>0</v>
      </c>
    </row>
    <row r="121" spans="1:24" x14ac:dyDescent="0.25">
      <c r="A121" s="84" t="s">
        <v>1065</v>
      </c>
      <c r="B121" s="84" t="s">
        <v>827</v>
      </c>
      <c r="C121" s="73">
        <f>+C122</f>
        <v>0</v>
      </c>
      <c r="D121" s="73">
        <v>0</v>
      </c>
      <c r="E121" s="73">
        <f t="shared" ref="E121:J121" si="97">+E122</f>
        <v>0</v>
      </c>
      <c r="F121" s="73">
        <f t="shared" si="97"/>
        <v>0</v>
      </c>
      <c r="G121" s="73">
        <f t="shared" si="97"/>
        <v>0</v>
      </c>
      <c r="H121" s="73">
        <v>0</v>
      </c>
      <c r="I121" s="73">
        <v>0</v>
      </c>
      <c r="J121" s="73">
        <f t="shared" si="97"/>
        <v>0</v>
      </c>
      <c r="K121" s="76" t="e">
        <f t="shared" si="68"/>
        <v>#DIV/0!</v>
      </c>
      <c r="L121" s="98"/>
      <c r="M121" s="84" t="s">
        <v>1065</v>
      </c>
      <c r="N121" s="84" t="s">
        <v>827</v>
      </c>
      <c r="O121" s="73">
        <f>+O122</f>
        <v>0</v>
      </c>
      <c r="P121" s="73">
        <v>0</v>
      </c>
      <c r="Q121" s="73">
        <f t="shared" si="95"/>
        <v>0</v>
      </c>
      <c r="R121" s="73">
        <f t="shared" si="95"/>
        <v>0</v>
      </c>
      <c r="S121" s="73">
        <f t="shared" si="95"/>
        <v>0</v>
      </c>
      <c r="T121" s="73">
        <v>0</v>
      </c>
      <c r="U121" s="73">
        <v>0</v>
      </c>
      <c r="V121" s="73">
        <f t="shared" si="95"/>
        <v>0</v>
      </c>
      <c r="W121" s="76" t="e">
        <f t="shared" si="70"/>
        <v>#DIV/0!</v>
      </c>
      <c r="X121" s="230">
        <f t="shared" si="96"/>
        <v>0</v>
      </c>
    </row>
    <row r="122" spans="1:24" x14ac:dyDescent="0.25">
      <c r="A122" s="84" t="s">
        <v>1066</v>
      </c>
      <c r="B122" s="84" t="s">
        <v>827</v>
      </c>
      <c r="C122" s="73"/>
      <c r="D122" s="74"/>
      <c r="E122" s="85"/>
      <c r="F122" s="100">
        <f>+C122+D122-E122</f>
        <v>0</v>
      </c>
      <c r="G122" s="100">
        <v>0</v>
      </c>
      <c r="H122" s="74"/>
      <c r="I122" s="95">
        <v>0</v>
      </c>
      <c r="J122" s="103">
        <f>+F122-I122</f>
        <v>0</v>
      </c>
      <c r="K122" s="87" t="e">
        <f t="shared" si="68"/>
        <v>#DIV/0!</v>
      </c>
      <c r="L122" s="98"/>
      <c r="M122" s="84" t="s">
        <v>1066</v>
      </c>
      <c r="N122" s="84" t="s">
        <v>827</v>
      </c>
      <c r="O122" s="73"/>
      <c r="P122" s="74"/>
      <c r="Q122" s="85"/>
      <c r="R122" s="100">
        <f>+O122+P122-Q122</f>
        <v>0</v>
      </c>
      <c r="S122" s="100">
        <v>0</v>
      </c>
      <c r="T122" s="74"/>
      <c r="U122" s="95">
        <v>0</v>
      </c>
      <c r="V122" s="103">
        <f>+R122-U122</f>
        <v>0</v>
      </c>
      <c r="W122" s="87" t="e">
        <f t="shared" si="70"/>
        <v>#DIV/0!</v>
      </c>
      <c r="X122" s="230">
        <f t="shared" si="96"/>
        <v>0</v>
      </c>
    </row>
    <row r="123" spans="1:24" x14ac:dyDescent="0.25">
      <c r="A123" s="104" t="s">
        <v>1067</v>
      </c>
      <c r="B123" s="104" t="s">
        <v>828</v>
      </c>
      <c r="C123" s="105">
        <f>+C124+C128</f>
        <v>0</v>
      </c>
      <c r="D123" s="105">
        <f t="shared" ref="D123:J123" si="98">+D124+D128</f>
        <v>0</v>
      </c>
      <c r="E123" s="105">
        <f t="shared" si="98"/>
        <v>0</v>
      </c>
      <c r="F123" s="105">
        <f t="shared" si="98"/>
        <v>0</v>
      </c>
      <c r="G123" s="105">
        <f t="shared" si="98"/>
        <v>19331307</v>
      </c>
      <c r="H123" s="105">
        <f t="shared" si="98"/>
        <v>1377474</v>
      </c>
      <c r="I123" s="105">
        <f t="shared" si="98"/>
        <v>19331307</v>
      </c>
      <c r="J123" s="105">
        <f t="shared" si="98"/>
        <v>-19331307</v>
      </c>
      <c r="K123" s="68" t="e">
        <f t="shared" si="68"/>
        <v>#DIV/0!</v>
      </c>
      <c r="L123" s="98"/>
      <c r="M123" s="104" t="s">
        <v>1067</v>
      </c>
      <c r="N123" s="104" t="s">
        <v>828</v>
      </c>
      <c r="O123" s="105">
        <f>+O124+O128</f>
        <v>0</v>
      </c>
      <c r="P123" s="105">
        <f t="shared" ref="P123:V123" si="99">+P124+P128</f>
        <v>0</v>
      </c>
      <c r="Q123" s="105">
        <f t="shared" si="99"/>
        <v>0</v>
      </c>
      <c r="R123" s="105">
        <f t="shared" si="99"/>
        <v>0</v>
      </c>
      <c r="S123" s="105">
        <f t="shared" si="99"/>
        <v>17953833</v>
      </c>
      <c r="T123" s="105">
        <f t="shared" si="99"/>
        <v>1377474</v>
      </c>
      <c r="U123" s="105">
        <f t="shared" si="99"/>
        <v>19331307</v>
      </c>
      <c r="V123" s="105">
        <f t="shared" si="99"/>
        <v>-19331307</v>
      </c>
      <c r="W123" s="68" t="e">
        <f t="shared" si="70"/>
        <v>#DIV/0!</v>
      </c>
      <c r="X123" s="230">
        <f t="shared" si="96"/>
        <v>0</v>
      </c>
    </row>
    <row r="124" spans="1:24" x14ac:dyDescent="0.25">
      <c r="A124" s="104" t="s">
        <v>1068</v>
      </c>
      <c r="B124" s="104" t="s">
        <v>829</v>
      </c>
      <c r="C124" s="105">
        <f>+C125</f>
        <v>0</v>
      </c>
      <c r="D124" s="105">
        <f t="shared" ref="D124:J126" si="100">+D125</f>
        <v>0</v>
      </c>
      <c r="E124" s="105">
        <f t="shared" si="100"/>
        <v>0</v>
      </c>
      <c r="F124" s="105">
        <f t="shared" si="100"/>
        <v>0</v>
      </c>
      <c r="G124" s="105">
        <f t="shared" si="100"/>
        <v>0</v>
      </c>
      <c r="H124" s="105">
        <f t="shared" si="100"/>
        <v>0</v>
      </c>
      <c r="I124" s="105">
        <f t="shared" si="100"/>
        <v>0</v>
      </c>
      <c r="J124" s="105">
        <f t="shared" si="100"/>
        <v>0</v>
      </c>
      <c r="K124" s="68" t="e">
        <f t="shared" si="68"/>
        <v>#DIV/0!</v>
      </c>
      <c r="L124" s="98"/>
      <c r="M124" s="104" t="s">
        <v>1068</v>
      </c>
      <c r="N124" s="104" t="s">
        <v>829</v>
      </c>
      <c r="O124" s="105">
        <f>+O125</f>
        <v>0</v>
      </c>
      <c r="P124" s="105">
        <f t="shared" ref="P124:V126" si="101">+P125</f>
        <v>0</v>
      </c>
      <c r="Q124" s="105">
        <f t="shared" si="101"/>
        <v>0</v>
      </c>
      <c r="R124" s="105">
        <f t="shared" si="101"/>
        <v>0</v>
      </c>
      <c r="S124" s="105">
        <f t="shared" si="101"/>
        <v>0</v>
      </c>
      <c r="T124" s="105">
        <f t="shared" si="101"/>
        <v>0</v>
      </c>
      <c r="U124" s="105">
        <f t="shared" si="101"/>
        <v>0</v>
      </c>
      <c r="V124" s="105">
        <f t="shared" si="101"/>
        <v>0</v>
      </c>
      <c r="W124" s="68" t="e">
        <f t="shared" si="70"/>
        <v>#DIV/0!</v>
      </c>
      <c r="X124" s="230">
        <f t="shared" si="96"/>
        <v>0</v>
      </c>
    </row>
    <row r="125" spans="1:24" x14ac:dyDescent="0.25">
      <c r="A125" s="104" t="s">
        <v>1069</v>
      </c>
      <c r="B125" s="104" t="s">
        <v>830</v>
      </c>
      <c r="C125" s="105">
        <f>+C126</f>
        <v>0</v>
      </c>
      <c r="D125" s="105">
        <f t="shared" si="100"/>
        <v>0</v>
      </c>
      <c r="E125" s="105">
        <f t="shared" si="100"/>
        <v>0</v>
      </c>
      <c r="F125" s="105">
        <f t="shared" si="100"/>
        <v>0</v>
      </c>
      <c r="G125" s="105">
        <f t="shared" si="100"/>
        <v>0</v>
      </c>
      <c r="H125" s="105">
        <f t="shared" si="100"/>
        <v>0</v>
      </c>
      <c r="I125" s="105">
        <f t="shared" si="100"/>
        <v>0</v>
      </c>
      <c r="J125" s="105">
        <f t="shared" si="100"/>
        <v>0</v>
      </c>
      <c r="K125" s="68" t="e">
        <f t="shared" si="68"/>
        <v>#DIV/0!</v>
      </c>
      <c r="L125" s="98"/>
      <c r="M125" s="104" t="s">
        <v>1069</v>
      </c>
      <c r="N125" s="104" t="s">
        <v>830</v>
      </c>
      <c r="O125" s="105">
        <f>+O126</f>
        <v>0</v>
      </c>
      <c r="P125" s="105">
        <f t="shared" si="101"/>
        <v>0</v>
      </c>
      <c r="Q125" s="105">
        <f t="shared" si="101"/>
        <v>0</v>
      </c>
      <c r="R125" s="105">
        <f t="shared" si="101"/>
        <v>0</v>
      </c>
      <c r="S125" s="105">
        <f t="shared" si="101"/>
        <v>0</v>
      </c>
      <c r="T125" s="105">
        <f t="shared" si="101"/>
        <v>0</v>
      </c>
      <c r="U125" s="105">
        <f t="shared" si="101"/>
        <v>0</v>
      </c>
      <c r="V125" s="105">
        <f t="shared" si="101"/>
        <v>0</v>
      </c>
      <c r="W125" s="68" t="e">
        <f t="shared" si="70"/>
        <v>#DIV/0!</v>
      </c>
      <c r="X125" s="230">
        <f t="shared" si="96"/>
        <v>0</v>
      </c>
    </row>
    <row r="126" spans="1:24" x14ac:dyDescent="0.25">
      <c r="A126" s="106" t="s">
        <v>1070</v>
      </c>
      <c r="B126" s="106" t="s">
        <v>831</v>
      </c>
      <c r="C126" s="107">
        <f>+C127</f>
        <v>0</v>
      </c>
      <c r="D126" s="107">
        <f t="shared" si="100"/>
        <v>0</v>
      </c>
      <c r="E126" s="107">
        <f t="shared" si="100"/>
        <v>0</v>
      </c>
      <c r="F126" s="107">
        <f t="shared" si="100"/>
        <v>0</v>
      </c>
      <c r="G126" s="107">
        <f t="shared" si="100"/>
        <v>0</v>
      </c>
      <c r="H126" s="107">
        <f t="shared" si="100"/>
        <v>0</v>
      </c>
      <c r="I126" s="107">
        <f t="shared" si="100"/>
        <v>0</v>
      </c>
      <c r="J126" s="107">
        <f t="shared" si="100"/>
        <v>0</v>
      </c>
      <c r="K126" s="71" t="e">
        <f t="shared" si="68"/>
        <v>#DIV/0!</v>
      </c>
      <c r="L126" s="98"/>
      <c r="M126" s="106" t="s">
        <v>1070</v>
      </c>
      <c r="N126" s="106" t="s">
        <v>831</v>
      </c>
      <c r="O126" s="107">
        <f>+O127</f>
        <v>0</v>
      </c>
      <c r="P126" s="107">
        <f t="shared" si="101"/>
        <v>0</v>
      </c>
      <c r="Q126" s="107">
        <f t="shared" si="101"/>
        <v>0</v>
      </c>
      <c r="R126" s="107">
        <f t="shared" si="101"/>
        <v>0</v>
      </c>
      <c r="S126" s="107">
        <f t="shared" si="101"/>
        <v>0</v>
      </c>
      <c r="T126" s="107">
        <f t="shared" si="101"/>
        <v>0</v>
      </c>
      <c r="U126" s="107">
        <f t="shared" si="101"/>
        <v>0</v>
      </c>
      <c r="V126" s="107">
        <f t="shared" si="101"/>
        <v>0</v>
      </c>
      <c r="W126" s="71" t="e">
        <f t="shared" si="70"/>
        <v>#DIV/0!</v>
      </c>
      <c r="X126" s="230">
        <f t="shared" si="96"/>
        <v>0</v>
      </c>
    </row>
    <row r="127" spans="1:24" x14ac:dyDescent="0.25">
      <c r="A127" s="108" t="s">
        <v>1071</v>
      </c>
      <c r="B127" s="108" t="s">
        <v>831</v>
      </c>
      <c r="C127" s="73"/>
      <c r="D127" s="74"/>
      <c r="E127" s="85"/>
      <c r="F127" s="100">
        <f>+C127+D127-E127</f>
        <v>0</v>
      </c>
      <c r="G127" s="100"/>
      <c r="H127" s="74"/>
      <c r="I127" s="95"/>
      <c r="J127" s="109">
        <f>+F127-I127</f>
        <v>0</v>
      </c>
      <c r="K127" s="87" t="e">
        <f t="shared" si="68"/>
        <v>#DIV/0!</v>
      </c>
      <c r="L127" s="98"/>
      <c r="M127" s="108" t="s">
        <v>1071</v>
      </c>
      <c r="N127" s="108" t="s">
        <v>831</v>
      </c>
      <c r="O127" s="73"/>
      <c r="P127" s="74"/>
      <c r="Q127" s="85"/>
      <c r="R127" s="100">
        <f>+O127+P127-Q127</f>
        <v>0</v>
      </c>
      <c r="S127" s="100"/>
      <c r="T127" s="74"/>
      <c r="U127" s="95"/>
      <c r="V127" s="109">
        <f>+R127-U127</f>
        <v>0</v>
      </c>
      <c r="W127" s="87" t="e">
        <f t="shared" si="70"/>
        <v>#DIV/0!</v>
      </c>
      <c r="X127" s="230">
        <f t="shared" si="96"/>
        <v>0</v>
      </c>
    </row>
    <row r="128" spans="1:24" x14ac:dyDescent="0.25">
      <c r="A128" s="104" t="s">
        <v>1072</v>
      </c>
      <c r="B128" s="104" t="s">
        <v>832</v>
      </c>
      <c r="C128" s="105">
        <f>+C129</f>
        <v>0</v>
      </c>
      <c r="D128" s="105">
        <f t="shared" ref="D128:J131" si="102">+D129</f>
        <v>0</v>
      </c>
      <c r="E128" s="105">
        <f t="shared" si="102"/>
        <v>0</v>
      </c>
      <c r="F128" s="105">
        <f t="shared" si="102"/>
        <v>0</v>
      </c>
      <c r="G128" s="105">
        <f t="shared" si="102"/>
        <v>19331307</v>
      </c>
      <c r="H128" s="105">
        <f t="shared" si="102"/>
        <v>1377474</v>
      </c>
      <c r="I128" s="105">
        <f t="shared" si="102"/>
        <v>19331307</v>
      </c>
      <c r="J128" s="105">
        <f t="shared" si="102"/>
        <v>-19331307</v>
      </c>
      <c r="K128" s="68" t="e">
        <f t="shared" si="68"/>
        <v>#DIV/0!</v>
      </c>
      <c r="L128" s="98"/>
      <c r="M128" s="104" t="s">
        <v>1072</v>
      </c>
      <c r="N128" s="104" t="s">
        <v>832</v>
      </c>
      <c r="O128" s="105">
        <f>+O129</f>
        <v>0</v>
      </c>
      <c r="P128" s="105">
        <f t="shared" ref="P128:V131" si="103">+P129</f>
        <v>0</v>
      </c>
      <c r="Q128" s="105">
        <f t="shared" si="103"/>
        <v>0</v>
      </c>
      <c r="R128" s="105">
        <f t="shared" si="103"/>
        <v>0</v>
      </c>
      <c r="S128" s="105">
        <f t="shared" si="103"/>
        <v>17953833</v>
      </c>
      <c r="T128" s="105">
        <f t="shared" si="103"/>
        <v>1377474</v>
      </c>
      <c r="U128" s="105">
        <f t="shared" si="103"/>
        <v>19331307</v>
      </c>
      <c r="V128" s="105">
        <f t="shared" si="103"/>
        <v>-19331307</v>
      </c>
      <c r="W128" s="68" t="e">
        <f t="shared" si="70"/>
        <v>#DIV/0!</v>
      </c>
      <c r="X128" s="230">
        <f t="shared" si="96"/>
        <v>0</v>
      </c>
    </row>
    <row r="129" spans="1:24" x14ac:dyDescent="0.25">
      <c r="A129" s="104" t="s">
        <v>1073</v>
      </c>
      <c r="B129" s="104" t="s">
        <v>832</v>
      </c>
      <c r="C129" s="105">
        <f>+C130</f>
        <v>0</v>
      </c>
      <c r="D129" s="105">
        <f t="shared" si="102"/>
        <v>0</v>
      </c>
      <c r="E129" s="105">
        <f t="shared" si="102"/>
        <v>0</v>
      </c>
      <c r="F129" s="105">
        <f t="shared" si="102"/>
        <v>0</v>
      </c>
      <c r="G129" s="105">
        <f t="shared" si="102"/>
        <v>19331307</v>
      </c>
      <c r="H129" s="105">
        <f t="shared" si="102"/>
        <v>1377474</v>
      </c>
      <c r="I129" s="105">
        <f t="shared" si="102"/>
        <v>19331307</v>
      </c>
      <c r="J129" s="105">
        <f t="shared" si="102"/>
        <v>-19331307</v>
      </c>
      <c r="K129" s="68" t="e">
        <f t="shared" si="68"/>
        <v>#DIV/0!</v>
      </c>
      <c r="L129" s="98"/>
      <c r="M129" s="104" t="s">
        <v>1073</v>
      </c>
      <c r="N129" s="104" t="s">
        <v>832</v>
      </c>
      <c r="O129" s="105">
        <f>+O130</f>
        <v>0</v>
      </c>
      <c r="P129" s="105">
        <f t="shared" si="103"/>
        <v>0</v>
      </c>
      <c r="Q129" s="105">
        <f t="shared" si="103"/>
        <v>0</v>
      </c>
      <c r="R129" s="105">
        <f t="shared" si="103"/>
        <v>0</v>
      </c>
      <c r="S129" s="105">
        <f t="shared" si="103"/>
        <v>17953833</v>
      </c>
      <c r="T129" s="105">
        <f t="shared" si="103"/>
        <v>1377474</v>
      </c>
      <c r="U129" s="105">
        <f t="shared" si="103"/>
        <v>19331307</v>
      </c>
      <c r="V129" s="105">
        <f t="shared" si="103"/>
        <v>-19331307</v>
      </c>
      <c r="W129" s="68" t="e">
        <f t="shared" si="70"/>
        <v>#DIV/0!</v>
      </c>
      <c r="X129" s="230">
        <f t="shared" si="96"/>
        <v>0</v>
      </c>
    </row>
    <row r="130" spans="1:24" x14ac:dyDescent="0.25">
      <c r="A130" s="104" t="s">
        <v>1074</v>
      </c>
      <c r="B130" s="104" t="s">
        <v>832</v>
      </c>
      <c r="C130" s="105">
        <f>+C131</f>
        <v>0</v>
      </c>
      <c r="D130" s="105">
        <f t="shared" si="102"/>
        <v>0</v>
      </c>
      <c r="E130" s="105">
        <f t="shared" si="102"/>
        <v>0</v>
      </c>
      <c r="F130" s="105">
        <f t="shared" si="102"/>
        <v>0</v>
      </c>
      <c r="G130" s="105">
        <f t="shared" si="102"/>
        <v>19331307</v>
      </c>
      <c r="H130" s="105">
        <f t="shared" si="102"/>
        <v>1377474</v>
      </c>
      <c r="I130" s="105">
        <f t="shared" si="102"/>
        <v>19331307</v>
      </c>
      <c r="J130" s="105">
        <f t="shared" si="102"/>
        <v>-19331307</v>
      </c>
      <c r="K130" s="68" t="e">
        <f t="shared" si="68"/>
        <v>#DIV/0!</v>
      </c>
      <c r="L130" s="98"/>
      <c r="M130" s="104" t="s">
        <v>1074</v>
      </c>
      <c r="N130" s="104" t="s">
        <v>832</v>
      </c>
      <c r="O130" s="105">
        <f>+O131</f>
        <v>0</v>
      </c>
      <c r="P130" s="105">
        <f t="shared" si="103"/>
        <v>0</v>
      </c>
      <c r="Q130" s="105">
        <f t="shared" si="103"/>
        <v>0</v>
      </c>
      <c r="R130" s="105">
        <f t="shared" si="103"/>
        <v>0</v>
      </c>
      <c r="S130" s="105">
        <f t="shared" si="103"/>
        <v>17953833</v>
      </c>
      <c r="T130" s="105">
        <f t="shared" si="103"/>
        <v>1377474</v>
      </c>
      <c r="U130" s="105">
        <f t="shared" si="103"/>
        <v>19331307</v>
      </c>
      <c r="V130" s="105">
        <f t="shared" si="103"/>
        <v>-19331307</v>
      </c>
      <c r="W130" s="68" t="e">
        <f t="shared" si="70"/>
        <v>#DIV/0!</v>
      </c>
      <c r="X130" s="230">
        <f t="shared" si="96"/>
        <v>0</v>
      </c>
    </row>
    <row r="131" spans="1:24" x14ac:dyDescent="0.25">
      <c r="A131" s="106" t="s">
        <v>1075</v>
      </c>
      <c r="B131" s="106" t="s">
        <v>832</v>
      </c>
      <c r="C131" s="107">
        <f>+C132</f>
        <v>0</v>
      </c>
      <c r="D131" s="107">
        <f t="shared" si="102"/>
        <v>0</v>
      </c>
      <c r="E131" s="107">
        <f t="shared" si="102"/>
        <v>0</v>
      </c>
      <c r="F131" s="107">
        <f t="shared" si="102"/>
        <v>0</v>
      </c>
      <c r="G131" s="107">
        <f t="shared" si="102"/>
        <v>19331307</v>
      </c>
      <c r="H131" s="107">
        <f t="shared" si="102"/>
        <v>1377474</v>
      </c>
      <c r="I131" s="107">
        <f t="shared" si="102"/>
        <v>19331307</v>
      </c>
      <c r="J131" s="107">
        <f t="shared" si="102"/>
        <v>-19331307</v>
      </c>
      <c r="K131" s="71" t="e">
        <f t="shared" si="68"/>
        <v>#DIV/0!</v>
      </c>
      <c r="L131" s="98"/>
      <c r="M131" s="106" t="s">
        <v>1075</v>
      </c>
      <c r="N131" s="106" t="s">
        <v>832</v>
      </c>
      <c r="O131" s="107">
        <f>+O132</f>
        <v>0</v>
      </c>
      <c r="P131" s="107">
        <f t="shared" si="103"/>
        <v>0</v>
      </c>
      <c r="Q131" s="107">
        <f t="shared" si="103"/>
        <v>0</v>
      </c>
      <c r="R131" s="107">
        <f t="shared" si="103"/>
        <v>0</v>
      </c>
      <c r="S131" s="107">
        <f t="shared" si="103"/>
        <v>17953833</v>
      </c>
      <c r="T131" s="107">
        <f t="shared" si="103"/>
        <v>1377474</v>
      </c>
      <c r="U131" s="107">
        <f t="shared" si="103"/>
        <v>19331307</v>
      </c>
      <c r="V131" s="107">
        <f t="shared" si="103"/>
        <v>-19331307</v>
      </c>
      <c r="W131" s="71" t="e">
        <f t="shared" si="70"/>
        <v>#DIV/0!</v>
      </c>
      <c r="X131" s="230">
        <f t="shared" si="96"/>
        <v>0</v>
      </c>
    </row>
    <row r="132" spans="1:24" x14ac:dyDescent="0.25">
      <c r="A132" s="20" t="s">
        <v>1076</v>
      </c>
      <c r="B132" s="20" t="s">
        <v>832</v>
      </c>
      <c r="C132" s="73"/>
      <c r="D132" s="74"/>
      <c r="E132" s="85"/>
      <c r="F132" s="100">
        <f>+C132+D132-E132</f>
        <v>0</v>
      </c>
      <c r="G132" s="95">
        <v>19331307</v>
      </c>
      <c r="H132" s="74">
        <v>1377474</v>
      </c>
      <c r="I132" s="95">
        <v>19331307</v>
      </c>
      <c r="J132" s="103">
        <f>+F132-I132</f>
        <v>-19331307</v>
      </c>
      <c r="K132" s="87" t="e">
        <f t="shared" si="68"/>
        <v>#DIV/0!</v>
      </c>
      <c r="L132" s="98"/>
      <c r="M132" s="183" t="s">
        <v>1076</v>
      </c>
      <c r="N132" s="183" t="s">
        <v>832</v>
      </c>
      <c r="O132" s="73"/>
      <c r="P132" s="74"/>
      <c r="Q132" s="85"/>
      <c r="R132" s="100">
        <f>+O132+P132-Q132</f>
        <v>0</v>
      </c>
      <c r="S132" s="100">
        <v>17953833</v>
      </c>
      <c r="T132" s="74">
        <v>1377474</v>
      </c>
      <c r="U132" s="95">
        <f>17953833+T132</f>
        <v>19331307</v>
      </c>
      <c r="V132" s="103">
        <f>+R132-U132</f>
        <v>-19331307</v>
      </c>
      <c r="W132" s="87" t="e">
        <f t="shared" si="70"/>
        <v>#DIV/0!</v>
      </c>
      <c r="X132" s="230">
        <f t="shared" si="96"/>
        <v>0</v>
      </c>
    </row>
    <row r="133" spans="1:24" x14ac:dyDescent="0.25">
      <c r="A133" s="104">
        <v>210</v>
      </c>
      <c r="B133" s="104" t="s">
        <v>833</v>
      </c>
      <c r="C133" s="105">
        <f>+C134</f>
        <v>0</v>
      </c>
      <c r="D133" s="105">
        <f t="shared" ref="D133:J136" si="104">+D134</f>
        <v>32095283336.709999</v>
      </c>
      <c r="E133" s="105">
        <f t="shared" si="104"/>
        <v>0</v>
      </c>
      <c r="F133" s="105">
        <f t="shared" si="104"/>
        <v>32095283336.709999</v>
      </c>
      <c r="G133" s="105">
        <f t="shared" si="104"/>
        <v>32095283336.709999</v>
      </c>
      <c r="H133" s="105">
        <f t="shared" si="104"/>
        <v>0</v>
      </c>
      <c r="I133" s="105">
        <f t="shared" si="104"/>
        <v>32095283336.709999</v>
      </c>
      <c r="J133" s="105">
        <f t="shared" si="104"/>
        <v>0</v>
      </c>
      <c r="K133" s="68">
        <f t="shared" si="68"/>
        <v>1</v>
      </c>
      <c r="L133" s="98"/>
      <c r="M133" s="104">
        <v>210</v>
      </c>
      <c r="N133" s="104" t="s">
        <v>833</v>
      </c>
      <c r="O133" s="105">
        <f>+O134</f>
        <v>0</v>
      </c>
      <c r="P133" s="105">
        <f t="shared" ref="P133:V136" si="105">+P134</f>
        <v>32095283336.709999</v>
      </c>
      <c r="Q133" s="105">
        <f t="shared" si="105"/>
        <v>0</v>
      </c>
      <c r="R133" s="105">
        <f t="shared" si="105"/>
        <v>32095283336.709999</v>
      </c>
      <c r="S133" s="105">
        <f t="shared" si="105"/>
        <v>17017560758.990002</v>
      </c>
      <c r="T133" s="105">
        <f t="shared" si="105"/>
        <v>0</v>
      </c>
      <c r="U133" s="105">
        <f t="shared" si="105"/>
        <v>17017560758.990002</v>
      </c>
      <c r="V133" s="105">
        <f t="shared" si="105"/>
        <v>15077722577.719997</v>
      </c>
      <c r="W133" s="68">
        <f t="shared" si="70"/>
        <v>0.5302199884157317</v>
      </c>
      <c r="X133" s="230">
        <f t="shared" si="96"/>
        <v>0</v>
      </c>
    </row>
    <row r="134" spans="1:24" x14ac:dyDescent="0.25">
      <c r="A134" s="104">
        <v>2101</v>
      </c>
      <c r="B134" s="104" t="s">
        <v>833</v>
      </c>
      <c r="C134" s="105">
        <f>+C135</f>
        <v>0</v>
      </c>
      <c r="D134" s="105">
        <f t="shared" si="104"/>
        <v>32095283336.709999</v>
      </c>
      <c r="E134" s="105">
        <f t="shared" si="104"/>
        <v>0</v>
      </c>
      <c r="F134" s="105">
        <f t="shared" si="104"/>
        <v>32095283336.709999</v>
      </c>
      <c r="G134" s="105">
        <f t="shared" si="104"/>
        <v>32095283336.709999</v>
      </c>
      <c r="H134" s="105">
        <f t="shared" si="104"/>
        <v>0</v>
      </c>
      <c r="I134" s="105">
        <f t="shared" si="104"/>
        <v>32095283336.709999</v>
      </c>
      <c r="J134" s="105">
        <f t="shared" si="104"/>
        <v>0</v>
      </c>
      <c r="K134" s="68">
        <f t="shared" si="68"/>
        <v>1</v>
      </c>
      <c r="L134" s="98"/>
      <c r="M134" s="104">
        <v>2101</v>
      </c>
      <c r="N134" s="104" t="s">
        <v>833</v>
      </c>
      <c r="O134" s="105">
        <f>+O135</f>
        <v>0</v>
      </c>
      <c r="P134" s="105">
        <f t="shared" si="105"/>
        <v>32095283336.709999</v>
      </c>
      <c r="Q134" s="105">
        <f t="shared" si="105"/>
        <v>0</v>
      </c>
      <c r="R134" s="105">
        <f t="shared" si="105"/>
        <v>32095283336.709999</v>
      </c>
      <c r="S134" s="105">
        <f t="shared" si="105"/>
        <v>17017560758.990002</v>
      </c>
      <c r="T134" s="105">
        <f t="shared" si="105"/>
        <v>0</v>
      </c>
      <c r="U134" s="105">
        <f t="shared" si="105"/>
        <v>17017560758.990002</v>
      </c>
      <c r="V134" s="105">
        <f t="shared" si="105"/>
        <v>15077722577.719997</v>
      </c>
      <c r="W134" s="68">
        <f t="shared" si="70"/>
        <v>0.5302199884157317</v>
      </c>
      <c r="X134" s="230">
        <f t="shared" si="96"/>
        <v>0</v>
      </c>
    </row>
    <row r="135" spans="1:24" x14ac:dyDescent="0.25">
      <c r="A135" s="104">
        <v>210101</v>
      </c>
      <c r="B135" s="104" t="s">
        <v>833</v>
      </c>
      <c r="C135" s="105">
        <f>+C136</f>
        <v>0</v>
      </c>
      <c r="D135" s="105">
        <f t="shared" si="104"/>
        <v>32095283336.709999</v>
      </c>
      <c r="E135" s="105">
        <f t="shared" si="104"/>
        <v>0</v>
      </c>
      <c r="F135" s="105">
        <f t="shared" si="104"/>
        <v>32095283336.709999</v>
      </c>
      <c r="G135" s="105">
        <f t="shared" si="104"/>
        <v>32095283336.709999</v>
      </c>
      <c r="H135" s="105">
        <f t="shared" si="104"/>
        <v>0</v>
      </c>
      <c r="I135" s="105">
        <f t="shared" si="104"/>
        <v>32095283336.709999</v>
      </c>
      <c r="J135" s="105">
        <f t="shared" si="104"/>
        <v>0</v>
      </c>
      <c r="K135" s="68">
        <f t="shared" si="68"/>
        <v>1</v>
      </c>
      <c r="L135" s="98"/>
      <c r="M135" s="104">
        <v>210101</v>
      </c>
      <c r="N135" s="104" t="s">
        <v>833</v>
      </c>
      <c r="O135" s="105">
        <f>+O136</f>
        <v>0</v>
      </c>
      <c r="P135" s="105">
        <f t="shared" si="105"/>
        <v>32095283336.709999</v>
      </c>
      <c r="Q135" s="105">
        <f t="shared" si="105"/>
        <v>0</v>
      </c>
      <c r="R135" s="105">
        <f t="shared" si="105"/>
        <v>32095283336.709999</v>
      </c>
      <c r="S135" s="105">
        <f t="shared" si="105"/>
        <v>17017560758.990002</v>
      </c>
      <c r="T135" s="105">
        <f t="shared" si="105"/>
        <v>0</v>
      </c>
      <c r="U135" s="105">
        <f t="shared" si="105"/>
        <v>17017560758.990002</v>
      </c>
      <c r="V135" s="105">
        <f t="shared" si="105"/>
        <v>15077722577.719997</v>
      </c>
      <c r="W135" s="68">
        <f t="shared" si="70"/>
        <v>0.5302199884157317</v>
      </c>
      <c r="X135" s="230">
        <f t="shared" si="96"/>
        <v>0</v>
      </c>
    </row>
    <row r="136" spans="1:24" x14ac:dyDescent="0.25">
      <c r="A136" s="106">
        <v>2101011</v>
      </c>
      <c r="B136" s="106" t="s">
        <v>833</v>
      </c>
      <c r="C136" s="107">
        <f>+C137</f>
        <v>0</v>
      </c>
      <c r="D136" s="107">
        <f t="shared" si="104"/>
        <v>32095283336.709999</v>
      </c>
      <c r="E136" s="107">
        <f t="shared" si="104"/>
        <v>0</v>
      </c>
      <c r="F136" s="107">
        <f t="shared" si="104"/>
        <v>32095283336.709999</v>
      </c>
      <c r="G136" s="107">
        <f t="shared" si="104"/>
        <v>32095283336.709999</v>
      </c>
      <c r="H136" s="107">
        <f t="shared" si="104"/>
        <v>0</v>
      </c>
      <c r="I136" s="107">
        <f t="shared" si="104"/>
        <v>32095283336.709999</v>
      </c>
      <c r="J136" s="107">
        <f t="shared" si="104"/>
        <v>0</v>
      </c>
      <c r="K136" s="71">
        <f t="shared" si="68"/>
        <v>1</v>
      </c>
      <c r="L136" s="98"/>
      <c r="M136" s="106">
        <v>2101011</v>
      </c>
      <c r="N136" s="106" t="s">
        <v>833</v>
      </c>
      <c r="O136" s="107">
        <f>+O137</f>
        <v>0</v>
      </c>
      <c r="P136" s="107">
        <f t="shared" si="105"/>
        <v>32095283336.709999</v>
      </c>
      <c r="Q136" s="107">
        <f t="shared" si="105"/>
        <v>0</v>
      </c>
      <c r="R136" s="107">
        <f t="shared" si="105"/>
        <v>32095283336.709999</v>
      </c>
      <c r="S136" s="107">
        <f t="shared" si="105"/>
        <v>17017560758.990002</v>
      </c>
      <c r="T136" s="107">
        <f t="shared" si="105"/>
        <v>0</v>
      </c>
      <c r="U136" s="107">
        <f t="shared" si="105"/>
        <v>17017560758.990002</v>
      </c>
      <c r="V136" s="107">
        <f t="shared" si="105"/>
        <v>15077722577.719997</v>
      </c>
      <c r="W136" s="71">
        <f t="shared" si="70"/>
        <v>0.5302199884157317</v>
      </c>
      <c r="X136" s="230">
        <f t="shared" si="96"/>
        <v>0</v>
      </c>
    </row>
    <row r="137" spans="1:24" x14ac:dyDescent="0.25">
      <c r="A137" s="110">
        <v>210101101</v>
      </c>
      <c r="B137" s="110" t="s">
        <v>833</v>
      </c>
      <c r="C137" s="111"/>
      <c r="D137" s="112">
        <f>32034719459.71+60563877</f>
        <v>32095283336.709999</v>
      </c>
      <c r="E137" s="111"/>
      <c r="F137" s="111">
        <f>+C137+D137-E137</f>
        <v>32095283336.709999</v>
      </c>
      <c r="G137" s="111">
        <v>32095283336.709999</v>
      </c>
      <c r="H137" s="113"/>
      <c r="I137" s="111">
        <v>32095283336.709999</v>
      </c>
      <c r="J137" s="114">
        <f>+F137-I137</f>
        <v>0</v>
      </c>
      <c r="K137" s="76">
        <f t="shared" si="68"/>
        <v>1</v>
      </c>
      <c r="L137" s="98"/>
      <c r="M137" s="110">
        <v>210101101</v>
      </c>
      <c r="N137" s="110" t="s">
        <v>833</v>
      </c>
      <c r="O137" s="111"/>
      <c r="P137" s="112">
        <f>32034719459.71+60563877</f>
        <v>32095283336.709999</v>
      </c>
      <c r="Q137" s="111"/>
      <c r="R137" s="111">
        <f>+O137+P137-Q137</f>
        <v>32095283336.709999</v>
      </c>
      <c r="S137" s="111">
        <v>17017560758.990002</v>
      </c>
      <c r="T137" s="113"/>
      <c r="U137" s="111">
        <v>17017560758.990002</v>
      </c>
      <c r="V137" s="114">
        <f>+R137-U137</f>
        <v>15077722577.719997</v>
      </c>
      <c r="W137" s="76">
        <f t="shared" si="70"/>
        <v>0.5302199884157317</v>
      </c>
      <c r="X137" s="230">
        <f t="shared" si="96"/>
        <v>219821639</v>
      </c>
    </row>
    <row r="138" spans="1:24" x14ac:dyDescent="0.25">
      <c r="A138" s="104">
        <v>212</v>
      </c>
      <c r="B138" s="104" t="s">
        <v>834</v>
      </c>
      <c r="C138" s="105">
        <f>+C139</f>
        <v>199000000</v>
      </c>
      <c r="D138" s="105">
        <f t="shared" ref="D138:J141" si="106">+D139</f>
        <v>1137823529</v>
      </c>
      <c r="E138" s="105">
        <f t="shared" si="106"/>
        <v>0</v>
      </c>
      <c r="F138" s="105">
        <f t="shared" si="106"/>
        <v>1336823529</v>
      </c>
      <c r="G138" s="105">
        <f t="shared" si="106"/>
        <v>1099945029</v>
      </c>
      <c r="H138" s="105">
        <f t="shared" si="106"/>
        <v>0</v>
      </c>
      <c r="I138" s="105">
        <f t="shared" si="106"/>
        <v>1319766668</v>
      </c>
      <c r="J138" s="105">
        <f t="shared" si="106"/>
        <v>17056861</v>
      </c>
      <c r="K138" s="68">
        <f t="shared" si="68"/>
        <v>0.98724075345026341</v>
      </c>
      <c r="L138" s="98"/>
      <c r="M138" s="104">
        <v>212</v>
      </c>
      <c r="N138" s="104" t="s">
        <v>834</v>
      </c>
      <c r="O138" s="105">
        <f>+O139</f>
        <v>199000000</v>
      </c>
      <c r="P138" s="105">
        <f t="shared" ref="P138:V141" si="107">+P139</f>
        <v>1137823529</v>
      </c>
      <c r="Q138" s="105">
        <f t="shared" si="107"/>
        <v>0</v>
      </c>
      <c r="R138" s="105">
        <f t="shared" si="107"/>
        <v>1124923529</v>
      </c>
      <c r="S138" s="105">
        <f t="shared" si="107"/>
        <v>1099945029</v>
      </c>
      <c r="T138" s="105">
        <f t="shared" si="107"/>
        <v>0</v>
      </c>
      <c r="U138" s="105">
        <f t="shared" si="107"/>
        <v>1319766668</v>
      </c>
      <c r="V138" s="105">
        <f t="shared" si="107"/>
        <v>-194843139</v>
      </c>
      <c r="W138" s="68">
        <f t="shared" si="70"/>
        <v>1.173205674854366</v>
      </c>
      <c r="X138" s="230">
        <f t="shared" si="96"/>
        <v>219821639</v>
      </c>
    </row>
    <row r="139" spans="1:24" x14ac:dyDescent="0.25">
      <c r="A139" s="104">
        <v>2124</v>
      </c>
      <c r="B139" s="104" t="s">
        <v>834</v>
      </c>
      <c r="C139" s="105">
        <f>+C140</f>
        <v>199000000</v>
      </c>
      <c r="D139" s="105">
        <f t="shared" si="106"/>
        <v>1137823529</v>
      </c>
      <c r="E139" s="105">
        <f t="shared" si="106"/>
        <v>0</v>
      </c>
      <c r="F139" s="105">
        <f t="shared" si="106"/>
        <v>1336823529</v>
      </c>
      <c r="G139" s="105">
        <f t="shared" si="106"/>
        <v>1099945029</v>
      </c>
      <c r="H139" s="105">
        <f t="shared" si="106"/>
        <v>0</v>
      </c>
      <c r="I139" s="105">
        <f t="shared" si="106"/>
        <v>1319766668</v>
      </c>
      <c r="J139" s="105">
        <f t="shared" si="106"/>
        <v>17056861</v>
      </c>
      <c r="K139" s="68">
        <f t="shared" si="68"/>
        <v>0.98724075345026341</v>
      </c>
      <c r="L139" s="98"/>
      <c r="M139" s="104">
        <v>2124</v>
      </c>
      <c r="N139" s="104" t="s">
        <v>834</v>
      </c>
      <c r="O139" s="105">
        <f>+O140</f>
        <v>199000000</v>
      </c>
      <c r="P139" s="105">
        <f t="shared" si="107"/>
        <v>1137823529</v>
      </c>
      <c r="Q139" s="105">
        <f t="shared" si="107"/>
        <v>0</v>
      </c>
      <c r="R139" s="105">
        <f t="shared" si="107"/>
        <v>1124923529</v>
      </c>
      <c r="S139" s="105">
        <f t="shared" si="107"/>
        <v>1099945029</v>
      </c>
      <c r="T139" s="105">
        <f t="shared" si="107"/>
        <v>0</v>
      </c>
      <c r="U139" s="105">
        <f t="shared" si="107"/>
        <v>1319766668</v>
      </c>
      <c r="V139" s="105">
        <f t="shared" si="107"/>
        <v>-194843139</v>
      </c>
      <c r="W139" s="68">
        <f t="shared" si="70"/>
        <v>1.173205674854366</v>
      </c>
      <c r="X139" s="230">
        <f t="shared" si="96"/>
        <v>219821639</v>
      </c>
    </row>
    <row r="140" spans="1:24" x14ac:dyDescent="0.25">
      <c r="A140" s="104">
        <v>212401</v>
      </c>
      <c r="B140" s="104" t="s">
        <v>834</v>
      </c>
      <c r="C140" s="105">
        <f>+C141</f>
        <v>199000000</v>
      </c>
      <c r="D140" s="105">
        <f t="shared" si="106"/>
        <v>1137823529</v>
      </c>
      <c r="E140" s="105">
        <f t="shared" si="106"/>
        <v>0</v>
      </c>
      <c r="F140" s="105">
        <f t="shared" si="106"/>
        <v>1336823529</v>
      </c>
      <c r="G140" s="105">
        <f t="shared" si="106"/>
        <v>1099945029</v>
      </c>
      <c r="H140" s="105">
        <f t="shared" si="106"/>
        <v>0</v>
      </c>
      <c r="I140" s="105">
        <f t="shared" si="106"/>
        <v>1319766668</v>
      </c>
      <c r="J140" s="105">
        <f t="shared" si="106"/>
        <v>17056861</v>
      </c>
      <c r="K140" s="68">
        <f t="shared" si="68"/>
        <v>0.98724075345026341</v>
      </c>
      <c r="L140" s="98"/>
      <c r="M140" s="104">
        <v>212401</v>
      </c>
      <c r="N140" s="104" t="s">
        <v>834</v>
      </c>
      <c r="O140" s="105">
        <f>+O141</f>
        <v>199000000</v>
      </c>
      <c r="P140" s="105">
        <f t="shared" si="107"/>
        <v>1137823529</v>
      </c>
      <c r="Q140" s="105">
        <f t="shared" si="107"/>
        <v>0</v>
      </c>
      <c r="R140" s="105">
        <f t="shared" si="107"/>
        <v>1124923529</v>
      </c>
      <c r="S140" s="105">
        <f t="shared" si="107"/>
        <v>1099945029</v>
      </c>
      <c r="T140" s="105">
        <f t="shared" si="107"/>
        <v>0</v>
      </c>
      <c r="U140" s="105">
        <f t="shared" si="107"/>
        <v>1319766668</v>
      </c>
      <c r="V140" s="105">
        <f t="shared" si="107"/>
        <v>-194843139</v>
      </c>
      <c r="W140" s="68">
        <f t="shared" si="70"/>
        <v>1.173205674854366</v>
      </c>
      <c r="X140" s="230">
        <f t="shared" si="96"/>
        <v>219821639</v>
      </c>
    </row>
    <row r="141" spans="1:24" x14ac:dyDescent="0.25">
      <c r="A141" s="104">
        <v>2124011</v>
      </c>
      <c r="B141" s="104" t="s">
        <v>834</v>
      </c>
      <c r="C141" s="105">
        <f>+C142</f>
        <v>199000000</v>
      </c>
      <c r="D141" s="105">
        <f t="shared" si="106"/>
        <v>1137823529</v>
      </c>
      <c r="E141" s="105">
        <f t="shared" si="106"/>
        <v>0</v>
      </c>
      <c r="F141" s="105">
        <f t="shared" si="106"/>
        <v>1336823529</v>
      </c>
      <c r="G141" s="105">
        <f t="shared" si="106"/>
        <v>1099945029</v>
      </c>
      <c r="H141" s="105">
        <f t="shared" si="106"/>
        <v>0</v>
      </c>
      <c r="I141" s="105">
        <f t="shared" si="106"/>
        <v>1319766668</v>
      </c>
      <c r="J141" s="105">
        <f t="shared" si="106"/>
        <v>17056861</v>
      </c>
      <c r="K141" s="68">
        <f t="shared" si="68"/>
        <v>0.98724075345026341</v>
      </c>
      <c r="L141" s="98"/>
      <c r="M141" s="104">
        <v>2124011</v>
      </c>
      <c r="N141" s="104" t="s">
        <v>834</v>
      </c>
      <c r="O141" s="105">
        <f>+O142</f>
        <v>199000000</v>
      </c>
      <c r="P141" s="105">
        <f t="shared" si="107"/>
        <v>1137823529</v>
      </c>
      <c r="Q141" s="105">
        <f t="shared" si="107"/>
        <v>0</v>
      </c>
      <c r="R141" s="105">
        <f t="shared" si="107"/>
        <v>1124923529</v>
      </c>
      <c r="S141" s="105">
        <f t="shared" si="107"/>
        <v>1099945029</v>
      </c>
      <c r="T141" s="105">
        <f t="shared" si="107"/>
        <v>0</v>
      </c>
      <c r="U141" s="105">
        <f t="shared" si="107"/>
        <v>1319766668</v>
      </c>
      <c r="V141" s="105">
        <f t="shared" si="107"/>
        <v>-194843139</v>
      </c>
      <c r="W141" s="68">
        <f t="shared" si="70"/>
        <v>1.173205674854366</v>
      </c>
      <c r="X141" s="230">
        <f t="shared" si="96"/>
        <v>219821639</v>
      </c>
    </row>
    <row r="142" spans="1:24" x14ac:dyDescent="0.25">
      <c r="A142" s="106">
        <v>212401101</v>
      </c>
      <c r="B142" s="106" t="s">
        <v>834</v>
      </c>
      <c r="C142" s="107">
        <f>SUM(C143:C155)</f>
        <v>199000000</v>
      </c>
      <c r="D142" s="107">
        <f t="shared" ref="D142:J142" si="108">SUM(D143:D155)</f>
        <v>1137823529</v>
      </c>
      <c r="E142" s="107">
        <f t="shared" si="108"/>
        <v>0</v>
      </c>
      <c r="F142" s="107">
        <f t="shared" si="108"/>
        <v>1336823529</v>
      </c>
      <c r="G142" s="107">
        <f t="shared" si="108"/>
        <v>1099945029</v>
      </c>
      <c r="H142" s="107">
        <f t="shared" si="108"/>
        <v>0</v>
      </c>
      <c r="I142" s="107">
        <f t="shared" si="108"/>
        <v>1319766668</v>
      </c>
      <c r="J142" s="107">
        <f t="shared" si="108"/>
        <v>17056861</v>
      </c>
      <c r="K142" s="71">
        <f t="shared" si="68"/>
        <v>0.98724075345026341</v>
      </c>
      <c r="L142" s="98"/>
      <c r="M142" s="106">
        <v>212401101</v>
      </c>
      <c r="N142" s="106" t="s">
        <v>834</v>
      </c>
      <c r="O142" s="107">
        <f t="shared" ref="O142:U142" si="109">SUM(O143:O155)</f>
        <v>199000000</v>
      </c>
      <c r="P142" s="107">
        <f t="shared" si="109"/>
        <v>1137823529</v>
      </c>
      <c r="Q142" s="107">
        <f t="shared" si="109"/>
        <v>0</v>
      </c>
      <c r="R142" s="107">
        <f t="shared" si="109"/>
        <v>1124923529</v>
      </c>
      <c r="S142" s="107">
        <f t="shared" si="109"/>
        <v>1099945029</v>
      </c>
      <c r="T142" s="107">
        <f t="shared" si="109"/>
        <v>0</v>
      </c>
      <c r="U142" s="107">
        <f t="shared" si="109"/>
        <v>1319766668</v>
      </c>
      <c r="V142" s="107">
        <f>SUM(V143:V155)</f>
        <v>-194843139</v>
      </c>
      <c r="W142" s="71">
        <f t="shared" si="70"/>
        <v>1.173205674854366</v>
      </c>
      <c r="X142" s="230">
        <f t="shared" si="96"/>
        <v>0</v>
      </c>
    </row>
    <row r="143" spans="1:24" ht="30" customHeight="1" x14ac:dyDescent="0.25">
      <c r="A143" s="115" t="s">
        <v>1077</v>
      </c>
      <c r="B143" s="116" t="s">
        <v>698</v>
      </c>
      <c r="C143" s="74">
        <v>49500000</v>
      </c>
      <c r="D143" s="74"/>
      <c r="E143" s="85"/>
      <c r="F143" s="86">
        <f>+C143+D143-E143</f>
        <v>49500000</v>
      </c>
      <c r="G143" s="95">
        <v>10000000</v>
      </c>
      <c r="H143" s="74"/>
      <c r="I143" s="95">
        <v>10000000</v>
      </c>
      <c r="J143" s="75">
        <f>+F143-I143</f>
        <v>39500000</v>
      </c>
      <c r="K143" s="87">
        <f t="shared" ref="K143:K155" si="110">+I143/F143</f>
        <v>0.20202020202020202</v>
      </c>
      <c r="L143" s="98"/>
      <c r="M143" s="115" t="s">
        <v>1077</v>
      </c>
      <c r="N143" s="116" t="s">
        <v>698</v>
      </c>
      <c r="O143" s="74">
        <v>49500000</v>
      </c>
      <c r="P143" s="74"/>
      <c r="Q143" s="85"/>
      <c r="R143" s="86">
        <f>+O143+P143-Q143</f>
        <v>49500000</v>
      </c>
      <c r="S143" s="95">
        <v>10000000</v>
      </c>
      <c r="T143" s="74"/>
      <c r="U143" s="95">
        <v>10000000</v>
      </c>
      <c r="V143" s="75">
        <f>+R143-U143</f>
        <v>39500000</v>
      </c>
      <c r="W143" s="87">
        <f t="shared" ref="W143:W151" si="111">+U143/R143</f>
        <v>0.20202020202020202</v>
      </c>
      <c r="X143" s="230">
        <f t="shared" si="96"/>
        <v>0</v>
      </c>
    </row>
    <row r="144" spans="1:24" x14ac:dyDescent="0.25">
      <c r="A144" s="116" t="s">
        <v>1078</v>
      </c>
      <c r="B144" s="116" t="s">
        <v>699</v>
      </c>
      <c r="C144" s="74">
        <v>149500000</v>
      </c>
      <c r="D144" s="74"/>
      <c r="E144" s="85"/>
      <c r="F144" s="86">
        <f>+C144+D144-E144</f>
        <v>149500000</v>
      </c>
      <c r="G144" s="95"/>
      <c r="H144" s="74"/>
      <c r="I144" s="95"/>
      <c r="J144" s="75">
        <f t="shared" ref="J144:J155" si="112">+F144-I144</f>
        <v>149500000</v>
      </c>
      <c r="K144" s="87">
        <f t="shared" si="110"/>
        <v>0</v>
      </c>
      <c r="L144" s="98"/>
      <c r="M144" s="116" t="s">
        <v>1078</v>
      </c>
      <c r="N144" s="116" t="s">
        <v>699</v>
      </c>
      <c r="O144" s="74">
        <v>149500000</v>
      </c>
      <c r="P144" s="74"/>
      <c r="Q144" s="85"/>
      <c r="R144" s="86">
        <f>+O144+P144-Q144</f>
        <v>149500000</v>
      </c>
      <c r="S144" s="95"/>
      <c r="T144" s="74"/>
      <c r="U144" s="95"/>
      <c r="V144" s="75">
        <f t="shared" ref="V144:V155" si="113">+R144-U144</f>
        <v>149500000</v>
      </c>
      <c r="W144" s="87">
        <f t="shared" si="111"/>
        <v>0</v>
      </c>
      <c r="X144" s="230">
        <f t="shared" si="96"/>
        <v>0</v>
      </c>
    </row>
    <row r="145" spans="1:24" x14ac:dyDescent="0.25">
      <c r="A145" s="116" t="s">
        <v>1079</v>
      </c>
      <c r="B145" s="115" t="s">
        <v>1080</v>
      </c>
      <c r="C145" s="81"/>
      <c r="D145" s="74">
        <v>915923529</v>
      </c>
      <c r="E145" s="81"/>
      <c r="F145" s="86">
        <f t="shared" ref="F145:F155" si="114">+C145+D145-E145</f>
        <v>915923529</v>
      </c>
      <c r="G145" s="95">
        <v>915923529</v>
      </c>
      <c r="H145" s="74"/>
      <c r="I145" s="95">
        <v>915923529</v>
      </c>
      <c r="J145" s="75">
        <f t="shared" si="112"/>
        <v>0</v>
      </c>
      <c r="K145" s="87">
        <f t="shared" si="110"/>
        <v>1</v>
      </c>
      <c r="L145" s="98"/>
      <c r="M145" s="116" t="s">
        <v>1079</v>
      </c>
      <c r="N145" s="115" t="s">
        <v>1080</v>
      </c>
      <c r="O145" s="81"/>
      <c r="P145" s="74">
        <v>915923529</v>
      </c>
      <c r="Q145" s="81"/>
      <c r="R145" s="86">
        <f t="shared" ref="R145:R155" si="115">+O145+P145-Q145</f>
        <v>915923529</v>
      </c>
      <c r="S145" s="95">
        <v>915923529</v>
      </c>
      <c r="T145" s="74"/>
      <c r="U145" s="95">
        <v>915923529</v>
      </c>
      <c r="V145" s="75">
        <f t="shared" si="113"/>
        <v>0</v>
      </c>
      <c r="W145" s="87">
        <f t="shared" si="111"/>
        <v>1</v>
      </c>
      <c r="X145" s="230">
        <f t="shared" si="96"/>
        <v>9968200</v>
      </c>
    </row>
    <row r="146" spans="1:24" s="181" customFormat="1" x14ac:dyDescent="0.25">
      <c r="A146" s="115" t="s">
        <v>1171</v>
      </c>
      <c r="B146" s="115" t="s">
        <v>1172</v>
      </c>
      <c r="C146" s="81"/>
      <c r="D146" s="74"/>
      <c r="E146" s="81"/>
      <c r="F146" s="86">
        <f t="shared" si="114"/>
        <v>0</v>
      </c>
      <c r="G146" s="95"/>
      <c r="H146" s="74"/>
      <c r="I146" s="95">
        <v>9968200</v>
      </c>
      <c r="J146" s="75">
        <f t="shared" si="112"/>
        <v>-9968200</v>
      </c>
      <c r="K146" s="87" t="e">
        <f t="shared" si="110"/>
        <v>#DIV/0!</v>
      </c>
      <c r="L146" s="98"/>
      <c r="M146" s="115" t="s">
        <v>1171</v>
      </c>
      <c r="N146" s="115" t="s">
        <v>1172</v>
      </c>
      <c r="O146" s="81"/>
      <c r="P146" s="74"/>
      <c r="Q146" s="81"/>
      <c r="R146" s="86">
        <f t="shared" si="115"/>
        <v>0</v>
      </c>
      <c r="S146" s="95"/>
      <c r="T146" s="74"/>
      <c r="U146" s="95">
        <v>9968200</v>
      </c>
      <c r="V146" s="75">
        <f t="shared" si="113"/>
        <v>-9968200</v>
      </c>
      <c r="W146" s="87"/>
      <c r="X146" s="230">
        <f t="shared" ref="X146:X151" si="116">+I148-G148</f>
        <v>0</v>
      </c>
    </row>
    <row r="147" spans="1:24" x14ac:dyDescent="0.25">
      <c r="A147" s="115" t="s">
        <v>1341</v>
      </c>
      <c r="B147" s="115" t="s">
        <v>1342</v>
      </c>
      <c r="C147" s="81"/>
      <c r="D147" s="74"/>
      <c r="E147" s="81"/>
      <c r="F147" s="86"/>
      <c r="G147" s="95"/>
      <c r="H147" s="74"/>
      <c r="I147" s="95"/>
      <c r="J147" s="75"/>
      <c r="K147" s="87" t="e">
        <f t="shared" si="110"/>
        <v>#DIV/0!</v>
      </c>
      <c r="M147" s="115" t="s">
        <v>1341</v>
      </c>
      <c r="N147" s="115" t="s">
        <v>1342</v>
      </c>
      <c r="O147" s="81"/>
      <c r="P147" s="74">
        <v>211900000</v>
      </c>
      <c r="Q147" s="81"/>
      <c r="R147" s="86"/>
      <c r="S147" s="95"/>
      <c r="T147" s="74"/>
      <c r="U147" s="95"/>
      <c r="V147" s="75"/>
      <c r="W147" s="87"/>
      <c r="X147" s="230">
        <f t="shared" si="116"/>
        <v>0</v>
      </c>
    </row>
    <row r="148" spans="1:24" x14ac:dyDescent="0.25">
      <c r="A148" s="115" t="s">
        <v>1081</v>
      </c>
      <c r="B148" s="116" t="s">
        <v>1082</v>
      </c>
      <c r="C148" s="74"/>
      <c r="D148" s="74">
        <v>10000000</v>
      </c>
      <c r="E148" s="85"/>
      <c r="F148" s="86">
        <f t="shared" si="114"/>
        <v>10000000</v>
      </c>
      <c r="G148" s="95">
        <v>50000</v>
      </c>
      <c r="H148" s="74"/>
      <c r="I148" s="95">
        <v>50000</v>
      </c>
      <c r="J148" s="75">
        <f t="shared" si="112"/>
        <v>9950000</v>
      </c>
      <c r="K148" s="87">
        <f t="shared" si="110"/>
        <v>5.0000000000000001E-3</v>
      </c>
      <c r="M148" s="115" t="s">
        <v>1081</v>
      </c>
      <c r="N148" s="116" t="s">
        <v>1082</v>
      </c>
      <c r="O148" s="74"/>
      <c r="P148" s="74">
        <v>10000000</v>
      </c>
      <c r="Q148" s="85"/>
      <c r="R148" s="86">
        <f t="shared" si="115"/>
        <v>10000000</v>
      </c>
      <c r="S148" s="95">
        <v>50000</v>
      </c>
      <c r="T148" s="74"/>
      <c r="U148" s="95">
        <v>50000</v>
      </c>
      <c r="V148" s="75">
        <f t="shared" si="113"/>
        <v>9950000</v>
      </c>
      <c r="W148" s="87">
        <f t="shared" si="111"/>
        <v>5.0000000000000001E-3</v>
      </c>
      <c r="X148" s="230">
        <f t="shared" si="116"/>
        <v>0</v>
      </c>
    </row>
    <row r="149" spans="1:24" x14ac:dyDescent="0.25">
      <c r="A149" s="115" t="s">
        <v>1083</v>
      </c>
      <c r="B149" s="115" t="s">
        <v>1084</v>
      </c>
      <c r="C149" s="81"/>
      <c r="D149" s="74"/>
      <c r="E149" s="74"/>
      <c r="F149" s="86">
        <f t="shared" si="114"/>
        <v>0</v>
      </c>
      <c r="G149" s="95">
        <v>3160000</v>
      </c>
      <c r="H149" s="74"/>
      <c r="I149" s="95">
        <v>3160000</v>
      </c>
      <c r="J149" s="75">
        <f t="shared" si="112"/>
        <v>-3160000</v>
      </c>
      <c r="K149" s="87" t="e">
        <f t="shared" si="110"/>
        <v>#DIV/0!</v>
      </c>
      <c r="M149" s="115" t="s">
        <v>1083</v>
      </c>
      <c r="N149" s="115" t="s">
        <v>1084</v>
      </c>
      <c r="O149" s="81"/>
      <c r="P149" s="74"/>
      <c r="Q149" s="74"/>
      <c r="R149" s="86">
        <f t="shared" si="115"/>
        <v>0</v>
      </c>
      <c r="S149" s="95">
        <v>3160000</v>
      </c>
      <c r="T149" s="74"/>
      <c r="U149" s="95">
        <v>3160000</v>
      </c>
      <c r="V149" s="75">
        <f t="shared" si="113"/>
        <v>-3160000</v>
      </c>
      <c r="W149" s="87" t="e">
        <f t="shared" si="111"/>
        <v>#DIV/0!</v>
      </c>
      <c r="X149" s="230">
        <f t="shared" si="116"/>
        <v>0</v>
      </c>
    </row>
    <row r="150" spans="1:24" x14ac:dyDescent="0.25">
      <c r="A150" s="115" t="s">
        <v>1085</v>
      </c>
      <c r="B150" s="116" t="s">
        <v>1086</v>
      </c>
      <c r="C150" s="81"/>
      <c r="D150" s="74"/>
      <c r="E150" s="74"/>
      <c r="F150" s="86">
        <f t="shared" si="114"/>
        <v>0</v>
      </c>
      <c r="G150" s="95">
        <v>71500</v>
      </c>
      <c r="H150" s="74"/>
      <c r="I150" s="95">
        <v>71500</v>
      </c>
      <c r="J150" s="75">
        <f t="shared" si="112"/>
        <v>-71500</v>
      </c>
      <c r="K150" s="87" t="e">
        <f t="shared" si="110"/>
        <v>#DIV/0!</v>
      </c>
      <c r="M150" s="115" t="s">
        <v>1085</v>
      </c>
      <c r="N150" s="116" t="s">
        <v>1086</v>
      </c>
      <c r="O150" s="81"/>
      <c r="P150" s="74"/>
      <c r="Q150" s="74"/>
      <c r="R150" s="86">
        <f t="shared" si="115"/>
        <v>0</v>
      </c>
      <c r="S150" s="95">
        <v>71500</v>
      </c>
      <c r="T150" s="74"/>
      <c r="U150" s="95">
        <v>71500</v>
      </c>
      <c r="V150" s="75">
        <f t="shared" si="113"/>
        <v>-71500</v>
      </c>
      <c r="W150" s="87" t="e">
        <f t="shared" si="111"/>
        <v>#DIV/0!</v>
      </c>
      <c r="X150" s="230">
        <f t="shared" si="116"/>
        <v>0</v>
      </c>
    </row>
    <row r="151" spans="1:24" s="181" customFormat="1" x14ac:dyDescent="0.25">
      <c r="A151" s="115" t="s">
        <v>1087</v>
      </c>
      <c r="B151" s="116" t="s">
        <v>1088</v>
      </c>
      <c r="C151" s="81"/>
      <c r="D151" s="74"/>
      <c r="E151" s="74"/>
      <c r="F151" s="86">
        <f t="shared" si="114"/>
        <v>0</v>
      </c>
      <c r="G151" s="74">
        <v>30000000</v>
      </c>
      <c r="H151" s="74"/>
      <c r="I151" s="74">
        <v>30000000</v>
      </c>
      <c r="J151" s="75">
        <f t="shared" si="112"/>
        <v>-30000000</v>
      </c>
      <c r="K151" s="87" t="e">
        <f t="shared" si="110"/>
        <v>#DIV/0!</v>
      </c>
      <c r="L151" s="55"/>
      <c r="M151" s="115" t="s">
        <v>1087</v>
      </c>
      <c r="N151" s="116" t="s">
        <v>1088</v>
      </c>
      <c r="O151" s="81"/>
      <c r="P151" s="74"/>
      <c r="Q151" s="74"/>
      <c r="R151" s="86">
        <f t="shared" si="115"/>
        <v>0</v>
      </c>
      <c r="S151" s="74">
        <v>30000000</v>
      </c>
      <c r="T151" s="74"/>
      <c r="U151" s="74">
        <v>30000000</v>
      </c>
      <c r="V151" s="75">
        <f t="shared" si="113"/>
        <v>-30000000</v>
      </c>
      <c r="W151" s="87" t="e">
        <f t="shared" si="111"/>
        <v>#DIV/0!</v>
      </c>
      <c r="X151" s="230">
        <f t="shared" si="116"/>
        <v>0</v>
      </c>
    </row>
    <row r="152" spans="1:24" s="257" customFormat="1" x14ac:dyDescent="0.25">
      <c r="A152" s="115" t="s">
        <v>1173</v>
      </c>
      <c r="B152" s="116" t="s">
        <v>1174</v>
      </c>
      <c r="C152" s="81"/>
      <c r="D152" s="74"/>
      <c r="E152" s="74"/>
      <c r="F152" s="86">
        <f t="shared" si="114"/>
        <v>0</v>
      </c>
      <c r="G152" s="74">
        <v>13600000</v>
      </c>
      <c r="H152" s="74"/>
      <c r="I152" s="74">
        <v>13600000</v>
      </c>
      <c r="J152" s="75">
        <f t="shared" si="112"/>
        <v>-13600000</v>
      </c>
      <c r="K152" s="87" t="e">
        <f t="shared" si="110"/>
        <v>#DIV/0!</v>
      </c>
      <c r="L152" s="55"/>
      <c r="M152" s="115" t="s">
        <v>1173</v>
      </c>
      <c r="N152" s="116" t="s">
        <v>1174</v>
      </c>
      <c r="O152" s="81"/>
      <c r="P152" s="74"/>
      <c r="Q152" s="74"/>
      <c r="R152" s="86">
        <f t="shared" si="115"/>
        <v>0</v>
      </c>
      <c r="S152" s="74">
        <v>13600000</v>
      </c>
      <c r="T152" s="74"/>
      <c r="U152" s="74">
        <v>13600000</v>
      </c>
      <c r="V152" s="75">
        <f t="shared" si="113"/>
        <v>-13600000</v>
      </c>
      <c r="W152" s="87"/>
      <c r="X152" s="230"/>
    </row>
    <row r="153" spans="1:24" s="257" customFormat="1" x14ac:dyDescent="0.25">
      <c r="A153" s="115" t="s">
        <v>1216</v>
      </c>
      <c r="B153" s="116" t="s">
        <v>1217</v>
      </c>
      <c r="C153" s="81"/>
      <c r="D153" s="74">
        <v>211900000</v>
      </c>
      <c r="E153" s="74"/>
      <c r="F153" s="86">
        <f t="shared" si="114"/>
        <v>211900000</v>
      </c>
      <c r="G153" s="74">
        <v>127140000</v>
      </c>
      <c r="H153" s="74"/>
      <c r="I153" s="74">
        <v>127140000</v>
      </c>
      <c r="J153" s="75">
        <f t="shared" si="112"/>
        <v>84760000</v>
      </c>
      <c r="K153" s="87">
        <f t="shared" si="110"/>
        <v>0.6</v>
      </c>
      <c r="L153" s="55"/>
      <c r="M153" s="115" t="s">
        <v>1216</v>
      </c>
      <c r="N153" s="116" t="s">
        <v>1217</v>
      </c>
      <c r="O153" s="81"/>
      <c r="P153" s="74"/>
      <c r="Q153" s="74"/>
      <c r="R153" s="86">
        <f t="shared" si="115"/>
        <v>0</v>
      </c>
      <c r="S153" s="74">
        <v>127140000</v>
      </c>
      <c r="T153" s="74"/>
      <c r="U153" s="74">
        <v>127140000</v>
      </c>
      <c r="V153" s="75">
        <f t="shared" si="113"/>
        <v>-127140000</v>
      </c>
      <c r="W153" s="87"/>
      <c r="X153" s="230"/>
    </row>
    <row r="154" spans="1:24" x14ac:dyDescent="0.25">
      <c r="A154" s="115" t="s">
        <v>1335</v>
      </c>
      <c r="B154" s="116" t="s">
        <v>1336</v>
      </c>
      <c r="C154" s="81"/>
      <c r="D154" s="74"/>
      <c r="E154" s="74"/>
      <c r="F154" s="86">
        <f t="shared" si="114"/>
        <v>0</v>
      </c>
      <c r="G154" s="74"/>
      <c r="H154" s="74"/>
      <c r="I154" s="74">
        <v>90000000</v>
      </c>
      <c r="J154" s="75">
        <f t="shared" si="112"/>
        <v>-90000000</v>
      </c>
      <c r="K154" s="87" t="e">
        <f t="shared" si="110"/>
        <v>#DIV/0!</v>
      </c>
      <c r="M154" s="115" t="s">
        <v>1335</v>
      </c>
      <c r="N154" s="116" t="s">
        <v>1336</v>
      </c>
      <c r="O154" s="81"/>
      <c r="P154" s="74"/>
      <c r="Q154" s="74"/>
      <c r="R154" s="86">
        <f t="shared" si="115"/>
        <v>0</v>
      </c>
      <c r="S154" s="74"/>
      <c r="T154" s="74"/>
      <c r="U154" s="74">
        <v>90000000</v>
      </c>
      <c r="V154" s="75">
        <f t="shared" si="113"/>
        <v>-90000000</v>
      </c>
      <c r="W154" s="87"/>
    </row>
    <row r="155" spans="1:24" x14ac:dyDescent="0.25">
      <c r="A155" s="115" t="s">
        <v>1337</v>
      </c>
      <c r="B155" s="116" t="s">
        <v>1338</v>
      </c>
      <c r="C155" s="81"/>
      <c r="D155" s="74"/>
      <c r="E155" s="74"/>
      <c r="F155" s="86">
        <f t="shared" si="114"/>
        <v>0</v>
      </c>
      <c r="G155" s="74"/>
      <c r="H155" s="74"/>
      <c r="I155" s="74">
        <v>119853439</v>
      </c>
      <c r="J155" s="75">
        <f t="shared" si="112"/>
        <v>-119853439</v>
      </c>
      <c r="K155" s="87" t="e">
        <f t="shared" si="110"/>
        <v>#DIV/0!</v>
      </c>
      <c r="M155" s="115" t="s">
        <v>1337</v>
      </c>
      <c r="N155" s="116" t="s">
        <v>1338</v>
      </c>
      <c r="O155" s="81"/>
      <c r="P155" s="74"/>
      <c r="Q155" s="74"/>
      <c r="R155" s="86">
        <f t="shared" si="115"/>
        <v>0</v>
      </c>
      <c r="S155" s="74"/>
      <c r="T155" s="74"/>
      <c r="U155" s="74">
        <v>119853439</v>
      </c>
      <c r="V155" s="75">
        <f t="shared" si="113"/>
        <v>-119853439</v>
      </c>
      <c r="W155" s="87"/>
    </row>
    <row r="156" spans="1:24" x14ac:dyDescent="0.25">
      <c r="A156" s="117"/>
      <c r="B156" s="118"/>
      <c r="C156" s="119"/>
      <c r="D156" s="119"/>
      <c r="E156" s="119"/>
      <c r="F156" s="120"/>
      <c r="G156" s="121"/>
      <c r="H156" s="121"/>
      <c r="I156" s="122"/>
      <c r="J156" s="123"/>
      <c r="K156" s="124"/>
    </row>
    <row r="157" spans="1:24" x14ac:dyDescent="0.25">
      <c r="A157" s="125"/>
      <c r="B157" s="126"/>
      <c r="C157" s="126"/>
      <c r="D157" s="127"/>
      <c r="E157" s="126"/>
      <c r="F157" s="126"/>
      <c r="G157" s="126"/>
      <c r="H157" s="126"/>
      <c r="I157" s="128"/>
      <c r="J157" s="126"/>
      <c r="K157" s="129"/>
    </row>
    <row r="158" spans="1:24" x14ac:dyDescent="0.25">
      <c r="A158" s="125"/>
      <c r="B158" s="126"/>
      <c r="C158" s="126"/>
      <c r="D158" s="127"/>
      <c r="E158" s="126"/>
      <c r="F158" s="126"/>
      <c r="G158" s="126"/>
      <c r="H158" s="126"/>
      <c r="I158" s="128"/>
      <c r="J158" s="126"/>
      <c r="K158" s="129"/>
    </row>
    <row r="159" spans="1:24" x14ac:dyDescent="0.25">
      <c r="A159" s="125"/>
      <c r="B159" s="126"/>
      <c r="C159" s="126"/>
      <c r="D159" s="127"/>
      <c r="E159" s="126"/>
      <c r="F159" s="126"/>
      <c r="G159" s="126"/>
      <c r="H159" s="126"/>
      <c r="I159" s="128"/>
      <c r="J159" s="126"/>
      <c r="K159" s="129"/>
    </row>
    <row r="160" spans="1:24" x14ac:dyDescent="0.25">
      <c r="A160" s="125"/>
      <c r="B160" s="126"/>
      <c r="C160" s="126"/>
      <c r="D160" s="126"/>
      <c r="E160" s="126"/>
      <c r="F160" s="126"/>
      <c r="G160" s="126"/>
      <c r="H160" s="126"/>
      <c r="I160" s="128"/>
      <c r="J160" s="126"/>
      <c r="K160" s="129"/>
    </row>
    <row r="161" spans="1:13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29"/>
    </row>
    <row r="162" spans="1:13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29"/>
    </row>
    <row r="163" spans="1:13" ht="19.5" thickBot="1" x14ac:dyDescent="0.3">
      <c r="A163" s="263" t="s">
        <v>1351</v>
      </c>
      <c r="B163" s="263"/>
      <c r="C163" s="263"/>
      <c r="D163" s="126"/>
      <c r="E163" s="126"/>
      <c r="F163" s="126"/>
      <c r="G163" s="126"/>
      <c r="H163" s="126"/>
      <c r="I163" s="126"/>
      <c r="J163" s="126"/>
      <c r="K163" s="129"/>
    </row>
    <row r="164" spans="1:13" ht="30" x14ac:dyDescent="0.25">
      <c r="A164" s="56" t="str">
        <f t="shared" ref="A164:K164" si="117">+A7</f>
        <v>CODIGO</v>
      </c>
      <c r="B164" s="57" t="str">
        <f t="shared" si="117"/>
        <v>NOMBRE</v>
      </c>
      <c r="C164" s="57" t="str">
        <f t="shared" si="117"/>
        <v>PRESUPUESTO INICIAL</v>
      </c>
      <c r="D164" s="57" t="str">
        <f t="shared" si="117"/>
        <v>ADICIONES</v>
      </c>
      <c r="E164" s="57" t="str">
        <f t="shared" si="117"/>
        <v>REDUCCIONES</v>
      </c>
      <c r="F164" s="130" t="str">
        <f t="shared" si="117"/>
        <v>PRESUPUESTO DEFINITIVO</v>
      </c>
      <c r="G164" s="57" t="str">
        <f t="shared" si="117"/>
        <v>PAC-     ACUMULADO</v>
      </c>
      <c r="H164" s="57" t="str">
        <f t="shared" si="117"/>
        <v>RECAUDOS MES</v>
      </c>
      <c r="I164" s="57" t="str">
        <f t="shared" si="117"/>
        <v>RECAUDOS ACUMULADO</v>
      </c>
      <c r="J164" s="57" t="str">
        <f t="shared" si="117"/>
        <v>SALDO     POR  RECAUDAR</v>
      </c>
      <c r="K164" s="131" t="str">
        <f t="shared" si="117"/>
        <v>% Recaudo</v>
      </c>
    </row>
    <row r="165" spans="1:13" x14ac:dyDescent="0.25">
      <c r="A165" s="60">
        <f t="shared" ref="A165:K165" si="118">+A8</f>
        <v>0</v>
      </c>
      <c r="B165" s="61" t="str">
        <f t="shared" si="118"/>
        <v>PRESUPUESTO DE INGRESOS</v>
      </c>
      <c r="C165" s="62">
        <f t="shared" si="118"/>
        <v>145638571780.996</v>
      </c>
      <c r="D165" s="62">
        <f t="shared" si="118"/>
        <v>33233106865.709999</v>
      </c>
      <c r="E165" s="62">
        <f t="shared" si="118"/>
        <v>0</v>
      </c>
      <c r="F165" s="132">
        <f t="shared" si="118"/>
        <v>178871678646.70599</v>
      </c>
      <c r="G165" s="62">
        <f t="shared" si="118"/>
        <v>93464678349.5</v>
      </c>
      <c r="H165" s="62">
        <f t="shared" si="118"/>
        <v>10868495144.030001</v>
      </c>
      <c r="I165" s="62">
        <f t="shared" si="118"/>
        <v>93649600270.220001</v>
      </c>
      <c r="J165" s="62">
        <f t="shared" si="118"/>
        <v>88130444816.206009</v>
      </c>
      <c r="K165" s="133">
        <f t="shared" si="118"/>
        <v>0.52355745179307966</v>
      </c>
    </row>
    <row r="166" spans="1:13" x14ac:dyDescent="0.25">
      <c r="A166" s="60">
        <f t="shared" ref="A166:K166" si="119">+A9</f>
        <v>1</v>
      </c>
      <c r="B166" s="61" t="str">
        <f t="shared" si="119"/>
        <v>INGRESOS CORRIENTES</v>
      </c>
      <c r="C166" s="62">
        <f t="shared" si="119"/>
        <v>145222612178.996</v>
      </c>
      <c r="D166" s="62">
        <f t="shared" si="119"/>
        <v>0</v>
      </c>
      <c r="E166" s="62">
        <f t="shared" si="119"/>
        <v>0</v>
      </c>
      <c r="F166" s="132">
        <f t="shared" si="119"/>
        <v>145222612178.996</v>
      </c>
      <c r="G166" s="62">
        <f t="shared" si="119"/>
        <v>60105324219.139999</v>
      </c>
      <c r="H166" s="62">
        <f t="shared" si="119"/>
        <v>10829225458.860001</v>
      </c>
      <c r="I166" s="62">
        <f t="shared" si="119"/>
        <v>60070424500.860001</v>
      </c>
      <c r="J166" s="62">
        <f t="shared" si="119"/>
        <v>88060554117.856003</v>
      </c>
      <c r="K166" s="133">
        <f t="shared" si="119"/>
        <v>0.41364374045840346</v>
      </c>
    </row>
    <row r="167" spans="1:13" x14ac:dyDescent="0.25">
      <c r="A167" s="61" t="str">
        <f t="shared" ref="A167:K167" si="120">+A10</f>
        <v>102</v>
      </c>
      <c r="B167" s="61" t="str">
        <f t="shared" si="120"/>
        <v>INGRESOS NO TRIBUTARIOS</v>
      </c>
      <c r="C167" s="62">
        <f t="shared" si="120"/>
        <v>145222612178.996</v>
      </c>
      <c r="D167" s="62">
        <f t="shared" si="120"/>
        <v>0</v>
      </c>
      <c r="E167" s="62">
        <f t="shared" si="120"/>
        <v>0</v>
      </c>
      <c r="F167" s="132">
        <f t="shared" si="120"/>
        <v>145222612178.996</v>
      </c>
      <c r="G167" s="62">
        <f t="shared" si="120"/>
        <v>60105324219.139999</v>
      </c>
      <c r="H167" s="62">
        <f t="shared" si="120"/>
        <v>10829225458.860001</v>
      </c>
      <c r="I167" s="62">
        <f t="shared" si="120"/>
        <v>60070424500.860001</v>
      </c>
      <c r="J167" s="62">
        <f t="shared" si="120"/>
        <v>88060554117.856003</v>
      </c>
      <c r="K167" s="133">
        <f t="shared" si="120"/>
        <v>0.41364374045840346</v>
      </c>
    </row>
    <row r="168" spans="1:13" x14ac:dyDescent="0.25">
      <c r="A168" s="134" t="str">
        <f t="shared" ref="A168:K168" si="121">+A13</f>
        <v>10210201</v>
      </c>
      <c r="B168" s="134" t="str">
        <f t="shared" si="121"/>
        <v>ESTAMPILLAS</v>
      </c>
      <c r="C168" s="135">
        <f t="shared" si="121"/>
        <v>3174321326</v>
      </c>
      <c r="D168" s="135">
        <f t="shared" si="121"/>
        <v>0</v>
      </c>
      <c r="E168" s="135">
        <f t="shared" si="121"/>
        <v>0</v>
      </c>
      <c r="F168" s="136">
        <f t="shared" si="121"/>
        <v>3174321326</v>
      </c>
      <c r="G168" s="135">
        <f t="shared" si="121"/>
        <v>2122435761.28</v>
      </c>
      <c r="H168" s="135">
        <f t="shared" si="121"/>
        <v>34899718.280000001</v>
      </c>
      <c r="I168" s="135">
        <f t="shared" si="121"/>
        <v>2122435761.28</v>
      </c>
      <c r="J168" s="135">
        <f t="shared" si="121"/>
        <v>1051885564.72</v>
      </c>
      <c r="K168" s="137">
        <f t="shared" si="121"/>
        <v>0.66862662701967435</v>
      </c>
      <c r="M168" s="1"/>
    </row>
    <row r="169" spans="1:13" x14ac:dyDescent="0.25">
      <c r="A169" s="104" t="str">
        <f t="shared" ref="A169:K169" si="122">+A20</f>
        <v>1022</v>
      </c>
      <c r="B169" s="104" t="str">
        <f t="shared" si="122"/>
        <v>TASAS Y DERECHOS ADMINISTRATIVOS</v>
      </c>
      <c r="C169" s="105">
        <f t="shared" si="122"/>
        <v>44132120803.339996</v>
      </c>
      <c r="D169" s="105">
        <f t="shared" si="122"/>
        <v>0</v>
      </c>
      <c r="E169" s="105">
        <f t="shared" si="122"/>
        <v>0</v>
      </c>
      <c r="F169" s="138">
        <f t="shared" si="122"/>
        <v>44132120803.339996</v>
      </c>
      <c r="G169" s="105">
        <f t="shared" si="122"/>
        <v>10284269219</v>
      </c>
      <c r="H169" s="105">
        <f t="shared" si="122"/>
        <v>2336758171</v>
      </c>
      <c r="I169" s="105">
        <f t="shared" si="122"/>
        <v>10284269219</v>
      </c>
      <c r="J169" s="105">
        <f t="shared" si="122"/>
        <v>33847851584.34</v>
      </c>
      <c r="K169" s="139">
        <f t="shared" si="122"/>
        <v>0.23303365058816</v>
      </c>
    </row>
    <row r="170" spans="1:13" x14ac:dyDescent="0.25">
      <c r="A170" s="104" t="str">
        <f t="shared" ref="A170:K170" si="123">+A21</f>
        <v>102201</v>
      </c>
      <c r="B170" s="104" t="str">
        <f t="shared" si="123"/>
        <v>CERTIFICACIONES Y CONSTANCIAS</v>
      </c>
      <c r="C170" s="105">
        <f t="shared" si="123"/>
        <v>0</v>
      </c>
      <c r="D170" s="105">
        <f t="shared" si="123"/>
        <v>0</v>
      </c>
      <c r="E170" s="105">
        <f t="shared" si="123"/>
        <v>0</v>
      </c>
      <c r="F170" s="138">
        <f t="shared" si="123"/>
        <v>0</v>
      </c>
      <c r="G170" s="105">
        <f t="shared" si="123"/>
        <v>7490000</v>
      </c>
      <c r="H170" s="105">
        <f t="shared" si="123"/>
        <v>1842000</v>
      </c>
      <c r="I170" s="105">
        <f t="shared" si="123"/>
        <v>7490000</v>
      </c>
      <c r="J170" s="105">
        <f t="shared" si="123"/>
        <v>-7490000</v>
      </c>
      <c r="K170" s="139" t="e">
        <f t="shared" si="123"/>
        <v>#DIV/0!</v>
      </c>
      <c r="L170" s="65"/>
    </row>
    <row r="171" spans="1:13" x14ac:dyDescent="0.25">
      <c r="A171" s="134" t="str">
        <f t="shared" ref="A171:K171" si="124">+A26</f>
        <v>10220201</v>
      </c>
      <c r="B171" s="134" t="str">
        <f t="shared" si="124"/>
        <v xml:space="preserve">SERVICIOS DE EDUCACIÓN SUPERIOR TERCIARIA </v>
      </c>
      <c r="C171" s="135">
        <f t="shared" si="124"/>
        <v>44132120803.339996</v>
      </c>
      <c r="D171" s="135">
        <f t="shared" si="124"/>
        <v>0</v>
      </c>
      <c r="E171" s="135">
        <f t="shared" si="124"/>
        <v>0</v>
      </c>
      <c r="F171" s="136">
        <f t="shared" si="124"/>
        <v>44132120803.339996</v>
      </c>
      <c r="G171" s="135">
        <f t="shared" si="124"/>
        <v>10276779219</v>
      </c>
      <c r="H171" s="135">
        <f t="shared" si="124"/>
        <v>2334916171</v>
      </c>
      <c r="I171" s="135">
        <f t="shared" si="124"/>
        <v>10276779219</v>
      </c>
      <c r="J171" s="135">
        <f t="shared" si="124"/>
        <v>33855341584.34</v>
      </c>
      <c r="K171" s="137">
        <f t="shared" si="124"/>
        <v>0.23286393293435911</v>
      </c>
    </row>
    <row r="172" spans="1:13" x14ac:dyDescent="0.25">
      <c r="A172" s="134" t="str">
        <f t="shared" ref="A172:K172" si="125">+A27</f>
        <v>102202011</v>
      </c>
      <c r="B172" s="134" t="str">
        <f t="shared" si="125"/>
        <v>SERVICIOS DE EDUC SUPERIOR TERC NIVEL PREGRADO</v>
      </c>
      <c r="C172" s="135">
        <f t="shared" si="125"/>
        <v>35549282815.339996</v>
      </c>
      <c r="D172" s="135">
        <f t="shared" si="125"/>
        <v>0</v>
      </c>
      <c r="E172" s="135">
        <f t="shared" si="125"/>
        <v>0</v>
      </c>
      <c r="F172" s="136">
        <f t="shared" si="125"/>
        <v>35549282815.339996</v>
      </c>
      <c r="G172" s="135">
        <f t="shared" si="125"/>
        <v>6150606989</v>
      </c>
      <c r="H172" s="135">
        <f t="shared" si="125"/>
        <v>1151800750</v>
      </c>
      <c r="I172" s="135">
        <f t="shared" si="125"/>
        <v>6150606989</v>
      </c>
      <c r="J172" s="135">
        <f t="shared" si="125"/>
        <v>29398675826.34</v>
      </c>
      <c r="K172" s="137">
        <f t="shared" si="125"/>
        <v>0.17301634525087886</v>
      </c>
    </row>
    <row r="173" spans="1:13" x14ac:dyDescent="0.25">
      <c r="A173" s="134" t="str">
        <f t="shared" ref="A173:K173" si="126">+A32</f>
        <v>102202012</v>
      </c>
      <c r="B173" s="140" t="str">
        <f t="shared" si="126"/>
        <v>SERVICIOS DE EDUCACIÓN SUPERIOR TER NIVEL POSGRADO</v>
      </c>
      <c r="C173" s="135">
        <f t="shared" si="126"/>
        <v>8582837988</v>
      </c>
      <c r="D173" s="135">
        <f t="shared" si="126"/>
        <v>0</v>
      </c>
      <c r="E173" s="135">
        <f t="shared" si="126"/>
        <v>0</v>
      </c>
      <c r="F173" s="136">
        <f t="shared" si="126"/>
        <v>8582837988</v>
      </c>
      <c r="G173" s="135">
        <f t="shared" si="126"/>
        <v>4126172230</v>
      </c>
      <c r="H173" s="135">
        <f t="shared" si="126"/>
        <v>1183115421</v>
      </c>
      <c r="I173" s="135">
        <f t="shared" si="126"/>
        <v>4126172230</v>
      </c>
      <c r="J173" s="135">
        <f t="shared" si="126"/>
        <v>4456665758</v>
      </c>
      <c r="K173" s="137">
        <f t="shared" si="126"/>
        <v>0.48074683872268847</v>
      </c>
    </row>
    <row r="174" spans="1:13" x14ac:dyDescent="0.25">
      <c r="A174" s="104" t="str">
        <f t="shared" ref="A174:K174" si="127">+A37</f>
        <v>1025</v>
      </c>
      <c r="B174" s="104" t="str">
        <f t="shared" si="127"/>
        <v>VENTA DE BIENES Y SERVICIOS</v>
      </c>
      <c r="C174" s="105">
        <f t="shared" si="127"/>
        <v>4627907835.8360004</v>
      </c>
      <c r="D174" s="105">
        <f t="shared" si="127"/>
        <v>0</v>
      </c>
      <c r="E174" s="105">
        <f t="shared" si="127"/>
        <v>0</v>
      </c>
      <c r="F174" s="138">
        <f t="shared" si="127"/>
        <v>4627907835.8360004</v>
      </c>
      <c r="G174" s="105">
        <f t="shared" si="127"/>
        <v>3494499827.8600001</v>
      </c>
      <c r="H174" s="105">
        <f t="shared" si="127"/>
        <v>1016092164.86</v>
      </c>
      <c r="I174" s="105">
        <f t="shared" si="127"/>
        <v>3494499827.8600001</v>
      </c>
      <c r="J174" s="105">
        <f t="shared" si="127"/>
        <v>1268038727.9760003</v>
      </c>
      <c r="K174" s="139">
        <f t="shared" si="127"/>
        <v>0.75509278745797281</v>
      </c>
    </row>
    <row r="175" spans="1:13" x14ac:dyDescent="0.25">
      <c r="A175" s="104" t="str">
        <f t="shared" ref="A175:K175" si="128">+A78</f>
        <v>1026</v>
      </c>
      <c r="B175" s="104" t="str">
        <f t="shared" si="128"/>
        <v>TRANSFERENCIAS CORRIENTES</v>
      </c>
      <c r="C175" s="105">
        <f t="shared" si="128"/>
        <v>93288262213.820007</v>
      </c>
      <c r="D175" s="105">
        <f t="shared" si="128"/>
        <v>0</v>
      </c>
      <c r="E175" s="105">
        <f t="shared" si="128"/>
        <v>0</v>
      </c>
      <c r="F175" s="138">
        <f t="shared" si="128"/>
        <v>93288262213.820007</v>
      </c>
      <c r="G175" s="105">
        <f t="shared" si="128"/>
        <v>44204119411</v>
      </c>
      <c r="H175" s="105">
        <f t="shared" si="128"/>
        <v>7476375123</v>
      </c>
      <c r="I175" s="105">
        <f t="shared" si="128"/>
        <v>44204119411</v>
      </c>
      <c r="J175" s="105">
        <f t="shared" si="128"/>
        <v>51892778240.820007</v>
      </c>
      <c r="K175" s="139">
        <f t="shared" si="128"/>
        <v>0.4738443868713364</v>
      </c>
    </row>
    <row r="176" spans="1:13" x14ac:dyDescent="0.25">
      <c r="A176" s="134" t="str">
        <f t="shared" ref="A176:K176" si="129">+A82</f>
        <v>10260401101</v>
      </c>
      <c r="B176" s="134" t="str">
        <f t="shared" si="129"/>
        <v>DEVOLUCIÓN IVA- INSTITUCIONES DE EDUCACIÓN SUPERIOR</v>
      </c>
      <c r="C176" s="135">
        <f t="shared" si="129"/>
        <v>1592517443.1900001</v>
      </c>
      <c r="D176" s="135">
        <f t="shared" si="129"/>
        <v>0</v>
      </c>
      <c r="E176" s="135">
        <f t="shared" si="129"/>
        <v>0</v>
      </c>
      <c r="F176" s="136">
        <f t="shared" si="129"/>
        <v>1592517443.1900001</v>
      </c>
      <c r="G176" s="135">
        <f t="shared" si="129"/>
        <v>817790798</v>
      </c>
      <c r="H176" s="135">
        <f t="shared" si="129"/>
        <v>0</v>
      </c>
      <c r="I176" s="135">
        <f t="shared" si="129"/>
        <v>817790798</v>
      </c>
      <c r="J176" s="135">
        <f t="shared" si="129"/>
        <v>774726645.19000006</v>
      </c>
      <c r="K176" s="137">
        <f t="shared" si="129"/>
        <v>0.51352077900124515</v>
      </c>
    </row>
    <row r="177" spans="1:11" x14ac:dyDescent="0.25">
      <c r="A177" s="134" t="str">
        <f t="shared" ref="A177:K177" si="130">+A85</f>
        <v>102605011</v>
      </c>
      <c r="B177" s="134" t="str">
        <f t="shared" si="130"/>
        <v>APORTES NACIÓN</v>
      </c>
      <c r="C177" s="135">
        <f t="shared" si="130"/>
        <v>91695744770.630005</v>
      </c>
      <c r="D177" s="135">
        <f t="shared" si="130"/>
        <v>0</v>
      </c>
      <c r="E177" s="135">
        <f t="shared" si="130"/>
        <v>0</v>
      </c>
      <c r="F177" s="136">
        <f t="shared" si="130"/>
        <v>91695744770.630005</v>
      </c>
      <c r="G177" s="135">
        <f t="shared" si="130"/>
        <v>43386328613</v>
      </c>
      <c r="H177" s="135">
        <f t="shared" si="130"/>
        <v>7476375123</v>
      </c>
      <c r="I177" s="135">
        <f t="shared" si="130"/>
        <v>43386328613</v>
      </c>
      <c r="J177" s="135">
        <f t="shared" si="130"/>
        <v>51118051595.630005</v>
      </c>
      <c r="K177" s="137">
        <f t="shared" si="130"/>
        <v>0.4731553107674476</v>
      </c>
    </row>
    <row r="178" spans="1:11" x14ac:dyDescent="0.25">
      <c r="A178" s="60" t="str">
        <f t="shared" ref="A178:K178" si="131">+A91</f>
        <v>2</v>
      </c>
      <c r="B178" s="61" t="str">
        <f t="shared" si="131"/>
        <v>RECURSOS DE CAPITAL</v>
      </c>
      <c r="C178" s="62">
        <f t="shared" si="131"/>
        <v>415959602</v>
      </c>
      <c r="D178" s="62">
        <f t="shared" si="131"/>
        <v>33233106865.709999</v>
      </c>
      <c r="E178" s="62">
        <f t="shared" si="131"/>
        <v>0</v>
      </c>
      <c r="F178" s="132">
        <f t="shared" si="131"/>
        <v>33649066467.709999</v>
      </c>
      <c r="G178" s="62">
        <f t="shared" si="131"/>
        <v>33359354130.360001</v>
      </c>
      <c r="H178" s="62">
        <f t="shared" si="131"/>
        <v>39269685.170000002</v>
      </c>
      <c r="I178" s="62">
        <f t="shared" si="131"/>
        <v>33579175769.360001</v>
      </c>
      <c r="J178" s="62">
        <f t="shared" si="131"/>
        <v>69890698.350000009</v>
      </c>
      <c r="K178" s="133">
        <f t="shared" si="131"/>
        <v>0.99792295282791676</v>
      </c>
    </row>
    <row r="179" spans="1:11" x14ac:dyDescent="0.25">
      <c r="A179" s="61" t="str">
        <f t="shared" ref="A179:K179" si="132">+A92</f>
        <v>205</v>
      </c>
      <c r="B179" s="61" t="str">
        <f t="shared" si="132"/>
        <v>RENDIMIENTOS FINANCIEROS</v>
      </c>
      <c r="C179" s="62">
        <f t="shared" si="132"/>
        <v>216959602</v>
      </c>
      <c r="D179" s="62">
        <f t="shared" si="132"/>
        <v>0</v>
      </c>
      <c r="E179" s="62">
        <f t="shared" si="132"/>
        <v>0</v>
      </c>
      <c r="F179" s="132">
        <f t="shared" si="132"/>
        <v>216959602</v>
      </c>
      <c r="G179" s="62">
        <f t="shared" si="132"/>
        <v>144794457.65000001</v>
      </c>
      <c r="H179" s="62">
        <f t="shared" si="132"/>
        <v>37892211.170000002</v>
      </c>
      <c r="I179" s="62">
        <f t="shared" si="132"/>
        <v>144794457.65000001</v>
      </c>
      <c r="J179" s="62">
        <f t="shared" si="132"/>
        <v>72165144.350000009</v>
      </c>
      <c r="K179" s="133">
        <f t="shared" si="132"/>
        <v>0.6673798085691548</v>
      </c>
    </row>
    <row r="180" spans="1:11" x14ac:dyDescent="0.25">
      <c r="A180" s="60" t="str">
        <f t="shared" ref="A180:K180" si="133">+A123</f>
        <v>208</v>
      </c>
      <c r="B180" s="61" t="str">
        <f t="shared" si="133"/>
        <v>TRANSFERENCIAS DE CAPITAL</v>
      </c>
      <c r="C180" s="62">
        <f t="shared" si="133"/>
        <v>0</v>
      </c>
      <c r="D180" s="62">
        <f t="shared" si="133"/>
        <v>0</v>
      </c>
      <c r="E180" s="62">
        <f t="shared" si="133"/>
        <v>0</v>
      </c>
      <c r="F180" s="132">
        <f t="shared" si="133"/>
        <v>0</v>
      </c>
      <c r="G180" s="62">
        <f t="shared" si="133"/>
        <v>19331307</v>
      </c>
      <c r="H180" s="62">
        <f t="shared" si="133"/>
        <v>1377474</v>
      </c>
      <c r="I180" s="62">
        <f t="shared" si="133"/>
        <v>19331307</v>
      </c>
      <c r="J180" s="62">
        <f t="shared" si="133"/>
        <v>-19331307</v>
      </c>
      <c r="K180" s="133" t="e">
        <f t="shared" si="133"/>
        <v>#DIV/0!</v>
      </c>
    </row>
    <row r="181" spans="1:11" x14ac:dyDescent="0.25">
      <c r="A181" s="134" t="str">
        <f t="shared" ref="A181:K181" si="134">+A132</f>
        <v>20820101101</v>
      </c>
      <c r="B181" s="134" t="str">
        <f t="shared" si="134"/>
        <v>INDEMNIZACIONES DE CAPITAL RELACIONADAS CON SEGUROS NO DE VIDA</v>
      </c>
      <c r="C181" s="135">
        <f t="shared" si="134"/>
        <v>0</v>
      </c>
      <c r="D181" s="135">
        <f t="shared" si="134"/>
        <v>0</v>
      </c>
      <c r="E181" s="135">
        <f t="shared" si="134"/>
        <v>0</v>
      </c>
      <c r="F181" s="136">
        <f t="shared" si="134"/>
        <v>0</v>
      </c>
      <c r="G181" s="135">
        <f t="shared" si="134"/>
        <v>19331307</v>
      </c>
      <c r="H181" s="135">
        <f t="shared" si="134"/>
        <v>1377474</v>
      </c>
      <c r="I181" s="135">
        <f t="shared" si="134"/>
        <v>19331307</v>
      </c>
      <c r="J181" s="135">
        <f t="shared" si="134"/>
        <v>-19331307</v>
      </c>
      <c r="K181" s="137" t="e">
        <f t="shared" si="134"/>
        <v>#DIV/0!</v>
      </c>
    </row>
    <row r="182" spans="1:11" x14ac:dyDescent="0.25">
      <c r="A182" s="60">
        <f t="shared" ref="A182:K182" si="135">+A133</f>
        <v>210</v>
      </c>
      <c r="B182" s="61" t="str">
        <f t="shared" si="135"/>
        <v>RECURSOS DEL BALANCE</v>
      </c>
      <c r="C182" s="62">
        <f t="shared" si="135"/>
        <v>0</v>
      </c>
      <c r="D182" s="62">
        <f t="shared" si="135"/>
        <v>32095283336.709999</v>
      </c>
      <c r="E182" s="62">
        <f t="shared" si="135"/>
        <v>0</v>
      </c>
      <c r="F182" s="132">
        <f t="shared" si="135"/>
        <v>32095283336.709999</v>
      </c>
      <c r="G182" s="62">
        <f t="shared" si="135"/>
        <v>32095283336.709999</v>
      </c>
      <c r="H182" s="62">
        <f t="shared" si="135"/>
        <v>0</v>
      </c>
      <c r="I182" s="62">
        <f t="shared" si="135"/>
        <v>32095283336.709999</v>
      </c>
      <c r="J182" s="62">
        <f t="shared" si="135"/>
        <v>0</v>
      </c>
      <c r="K182" s="133">
        <f t="shared" si="135"/>
        <v>1</v>
      </c>
    </row>
    <row r="183" spans="1:11" x14ac:dyDescent="0.25">
      <c r="A183" s="60">
        <f t="shared" ref="A183:K183" si="136">+A138</f>
        <v>212</v>
      </c>
      <c r="B183" s="61" t="str">
        <f t="shared" si="136"/>
        <v>RECURSOS DE TERCEROS EN ADMINISTRACIÓN</v>
      </c>
      <c r="C183" s="62">
        <f t="shared" si="136"/>
        <v>199000000</v>
      </c>
      <c r="D183" s="62">
        <f t="shared" si="136"/>
        <v>1137823529</v>
      </c>
      <c r="E183" s="62">
        <f t="shared" si="136"/>
        <v>0</v>
      </c>
      <c r="F183" s="132">
        <f t="shared" si="136"/>
        <v>1336823529</v>
      </c>
      <c r="G183" s="62">
        <f t="shared" si="136"/>
        <v>1099945029</v>
      </c>
      <c r="H183" s="62">
        <f t="shared" si="136"/>
        <v>0</v>
      </c>
      <c r="I183" s="62">
        <f t="shared" si="136"/>
        <v>1319766668</v>
      </c>
      <c r="J183" s="62">
        <f t="shared" si="136"/>
        <v>17056861</v>
      </c>
      <c r="K183" s="133">
        <f t="shared" si="136"/>
        <v>0.98724075345026341</v>
      </c>
    </row>
    <row r="184" spans="1:11" x14ac:dyDescent="0.25">
      <c r="C184" s="141"/>
      <c r="D184" s="141"/>
      <c r="E184" s="141"/>
      <c r="F184" s="142"/>
      <c r="G184" s="141"/>
      <c r="H184" s="141"/>
      <c r="I184" s="141"/>
      <c r="J184" s="141"/>
    </row>
  </sheetData>
  <mergeCells count="4">
    <mergeCell ref="A163:C163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0"/>
  <sheetViews>
    <sheetView showGridLines="0" tabSelected="1" workbookViewId="0">
      <pane xSplit="2" ySplit="7" topLeftCell="G606" activePane="bottomRight" state="frozen"/>
      <selection pane="topRight" activeCell="C1" sqref="C1"/>
      <selection pane="bottomLeft" activeCell="A8" sqref="A8"/>
      <selection pane="bottomRight" activeCell="N631" sqref="N631"/>
    </sheetView>
  </sheetViews>
  <sheetFormatPr baseColWidth="10" defaultRowHeight="15" x14ac:dyDescent="0.25"/>
  <cols>
    <col min="1" max="1" width="17.28515625" style="3" customWidth="1"/>
    <col min="2" max="2" width="45.140625" style="257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18.85546875" style="22" bestFit="1" customWidth="1"/>
    <col min="8" max="8" width="23.42578125" style="22" bestFit="1" customWidth="1"/>
    <col min="9" max="9" width="19.5703125" style="22" bestFit="1" customWidth="1"/>
    <col min="10" max="10" width="19.7109375" style="22" bestFit="1" customWidth="1"/>
    <col min="11" max="12" width="17.85546875" style="22" bestFit="1" customWidth="1"/>
    <col min="13" max="13" width="18.42578125" style="22" bestFit="1" customWidth="1"/>
    <col min="14" max="15" width="17.85546875" style="22" bestFit="1" customWidth="1"/>
    <col min="16" max="16" width="19.7109375" style="22" bestFit="1" customWidth="1"/>
    <col min="17" max="17" width="22.42578125" style="180" bestFit="1" customWidth="1"/>
    <col min="18" max="18" width="24" style="22" bestFit="1" customWidth="1"/>
    <col min="19" max="19" width="6.140625" style="257" bestFit="1" customWidth="1"/>
    <col min="20" max="20" width="16.140625" style="3" hidden="1" customWidth="1"/>
    <col min="21" max="21" width="99.7109375" style="257" hidden="1" customWidth="1"/>
    <col min="22" max="22" width="18.85546875" style="257" hidden="1" customWidth="1"/>
    <col min="23" max="23" width="16.85546875" style="257" hidden="1" customWidth="1"/>
    <col min="24" max="24" width="20.85546875" style="257" hidden="1" customWidth="1"/>
    <col min="25" max="25" width="17.85546875" style="257" hidden="1" customWidth="1"/>
    <col min="26" max="26" width="18.85546875" style="257" hidden="1" customWidth="1"/>
    <col min="27" max="27" width="23.5703125" style="257" hidden="1" customWidth="1"/>
    <col min="28" max="28" width="20.140625" style="257" hidden="1" customWidth="1"/>
    <col min="29" max="29" width="16.85546875" style="257" hidden="1" customWidth="1"/>
    <col min="30" max="30" width="21.42578125" style="257" hidden="1" customWidth="1"/>
    <col min="31" max="31" width="19.85546875" style="257" hidden="1" customWidth="1"/>
    <col min="32" max="32" width="24.85546875" style="257" hidden="1" customWidth="1"/>
    <col min="33" max="33" width="22.42578125" style="257" hidden="1" customWidth="1"/>
    <col min="34" max="35" width="17.85546875" style="257" hidden="1" customWidth="1"/>
    <col min="36" max="36" width="16.85546875" style="257" hidden="1" customWidth="1"/>
    <col min="37" max="37" width="15.140625" style="257" hidden="1" customWidth="1"/>
    <col min="38" max="38" width="16.85546875" style="257" hidden="1" customWidth="1"/>
    <col min="39" max="40" width="17.85546875" style="257" hidden="1" customWidth="1"/>
    <col min="41" max="41" width="21.28515625" style="257" hidden="1" customWidth="1"/>
    <col min="42" max="42" width="20.7109375" style="257" hidden="1" customWidth="1"/>
    <col min="43" max="43" width="24" style="22" hidden="1" customWidth="1"/>
    <col min="44" max="44" width="1.42578125" style="257" hidden="1" customWidth="1"/>
    <col min="45" max="45" width="24" style="22" hidden="1" customWidth="1"/>
    <col min="46" max="16384" width="11.42578125" style="257"/>
  </cols>
  <sheetData>
    <row r="1" spans="1:45" ht="15.75" customHeight="1" x14ac:dyDescent="0.25">
      <c r="A1" s="266" t="s">
        <v>1176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AQ1" s="257"/>
      <c r="AS1" s="257"/>
    </row>
    <row r="2" spans="1:45" ht="15.75" customHeight="1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AQ2" s="257"/>
      <c r="AS2" s="257"/>
    </row>
    <row r="3" spans="1:45" x14ac:dyDescent="0.25">
      <c r="A3" s="267" t="s">
        <v>1175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AQ3" s="257"/>
      <c r="AS3" s="257"/>
    </row>
    <row r="4" spans="1:45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AQ4" s="257"/>
      <c r="AS4" s="257"/>
    </row>
    <row r="5" spans="1:45" x14ac:dyDescent="0.25">
      <c r="A5" s="268" t="s">
        <v>1344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AQ5" s="257"/>
      <c r="AS5" s="257"/>
    </row>
    <row r="6" spans="1:45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AQ6" s="257"/>
      <c r="AS6" s="257"/>
    </row>
    <row r="7" spans="1:45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716</v>
      </c>
      <c r="H7" s="16" t="s">
        <v>717</v>
      </c>
      <c r="I7" s="16" t="s">
        <v>718</v>
      </c>
      <c r="J7" s="16" t="s">
        <v>719</v>
      </c>
      <c r="K7" s="16" t="s">
        <v>720</v>
      </c>
      <c r="L7" s="16" t="s">
        <v>721</v>
      </c>
      <c r="M7" s="16" t="s">
        <v>722</v>
      </c>
      <c r="N7" s="16" t="s">
        <v>723</v>
      </c>
      <c r="O7" s="16" t="s">
        <v>724</v>
      </c>
      <c r="P7" s="16" t="s">
        <v>725</v>
      </c>
      <c r="Q7" s="178" t="s">
        <v>726</v>
      </c>
      <c r="R7" s="16" t="s">
        <v>727</v>
      </c>
      <c r="T7" s="258" t="s">
        <v>0</v>
      </c>
      <c r="U7" s="258" t="s">
        <v>1</v>
      </c>
      <c r="V7" s="260" t="s">
        <v>2</v>
      </c>
      <c r="W7" s="260" t="s">
        <v>3</v>
      </c>
      <c r="X7" s="260" t="s">
        <v>4</v>
      </c>
      <c r="Y7" s="260" t="s">
        <v>6</v>
      </c>
      <c r="Z7" s="260" t="s">
        <v>1121</v>
      </c>
      <c r="AA7" s="260" t="s">
        <v>1122</v>
      </c>
      <c r="AB7" s="260" t="s">
        <v>1123</v>
      </c>
      <c r="AC7" s="260" t="s">
        <v>1124</v>
      </c>
      <c r="AD7" s="260" t="s">
        <v>1125</v>
      </c>
      <c r="AE7" s="260" t="s">
        <v>1126</v>
      </c>
      <c r="AF7" s="260" t="s">
        <v>1127</v>
      </c>
      <c r="AG7" s="260" t="s">
        <v>1128</v>
      </c>
      <c r="AH7" s="260" t="s">
        <v>1129</v>
      </c>
      <c r="AI7" s="260" t="s">
        <v>1130</v>
      </c>
      <c r="AJ7" s="260" t="s">
        <v>1131</v>
      </c>
      <c r="AK7" s="260" t="s">
        <v>1345</v>
      </c>
      <c r="AL7" s="260" t="s">
        <v>1128</v>
      </c>
      <c r="AM7" s="260" t="s">
        <v>1346</v>
      </c>
      <c r="AN7" s="260" t="s">
        <v>1129</v>
      </c>
      <c r="AO7" s="260" t="s">
        <v>1130</v>
      </c>
      <c r="AP7" s="260" t="s">
        <v>1131</v>
      </c>
      <c r="AQ7" s="16" t="s">
        <v>1347</v>
      </c>
      <c r="AS7" s="16" t="s">
        <v>1348</v>
      </c>
    </row>
    <row r="8" spans="1:45" s="1" customFormat="1" x14ac:dyDescent="0.25">
      <c r="A8" s="11" t="s">
        <v>7</v>
      </c>
      <c r="B8" s="12" t="s">
        <v>8</v>
      </c>
      <c r="C8" s="186">
        <f>+C9+C75+C282+C291+C303</f>
        <v>145638571781</v>
      </c>
      <c r="D8" s="186">
        <f t="shared" ref="D8:R8" si="0">+D9+D75+D282+D291+D303</f>
        <v>2586225586</v>
      </c>
      <c r="E8" s="186">
        <f t="shared" si="0"/>
        <v>2586225586</v>
      </c>
      <c r="F8" s="186">
        <f t="shared" si="0"/>
        <v>33233106865.73</v>
      </c>
      <c r="G8" s="186">
        <f t="shared" si="0"/>
        <v>178871678646.72998</v>
      </c>
      <c r="H8" s="186">
        <f t="shared" si="0"/>
        <v>24815028006.080002</v>
      </c>
      <c r="I8" s="186">
        <f t="shared" si="0"/>
        <v>81127467994.600006</v>
      </c>
      <c r="J8" s="186">
        <f>+G8-I8</f>
        <v>97744210652.129974</v>
      </c>
      <c r="K8" s="186">
        <f t="shared" si="0"/>
        <v>11215235066.41</v>
      </c>
      <c r="L8" s="186">
        <f t="shared" si="0"/>
        <v>55147760864.479996</v>
      </c>
      <c r="M8" s="186">
        <f t="shared" si="0"/>
        <v>24838230077.200001</v>
      </c>
      <c r="N8" s="186">
        <f t="shared" si="0"/>
        <v>12946845340.640001</v>
      </c>
      <c r="O8" s="186">
        <f t="shared" si="0"/>
        <v>97698266119.23999</v>
      </c>
      <c r="P8" s="186">
        <f t="shared" si="0"/>
        <v>14205310897.27</v>
      </c>
      <c r="Q8" s="186">
        <f>+G8-O8</f>
        <v>81173412527.48999</v>
      </c>
      <c r="R8" s="186">
        <f t="shared" si="0"/>
        <v>54678367432.739998</v>
      </c>
      <c r="S8" s="187">
        <f>+G345/G8</f>
        <v>3.0709210594756276E-2</v>
      </c>
      <c r="T8" s="183" t="s">
        <v>7</v>
      </c>
      <c r="U8" s="259" t="s">
        <v>8</v>
      </c>
      <c r="V8" s="261">
        <v>11612209500</v>
      </c>
      <c r="W8" s="261">
        <v>1894032905</v>
      </c>
      <c r="X8" s="261">
        <v>1337725000</v>
      </c>
      <c r="Y8" s="261">
        <v>2269847059</v>
      </c>
      <c r="Z8" s="261">
        <v>14438364464</v>
      </c>
      <c r="AA8" s="261">
        <v>1368600962.0899999</v>
      </c>
      <c r="AB8" s="261">
        <v>7770562794.5700006</v>
      </c>
      <c r="AC8" s="261">
        <v>6667801669.4299994</v>
      </c>
      <c r="AD8" s="261">
        <v>871179966.40999997</v>
      </c>
      <c r="AE8" s="261">
        <v>3637756252.3900003</v>
      </c>
      <c r="AF8" s="261">
        <v>4205408806.1800003</v>
      </c>
      <c r="AG8" s="261">
        <v>1529123918.3599999</v>
      </c>
      <c r="AH8" s="261">
        <v>11610306270.74</v>
      </c>
      <c r="AI8" s="261">
        <v>3839743476.1699991</v>
      </c>
      <c r="AJ8" s="261">
        <v>2828058193.2600002</v>
      </c>
      <c r="AK8" s="261">
        <v>292665694</v>
      </c>
      <c r="AL8" s="261">
        <v>1344330901.3599999</v>
      </c>
      <c r="AM8" s="261">
        <v>11814410952.74</v>
      </c>
      <c r="AN8" s="261">
        <v>11521745258.74</v>
      </c>
      <c r="AO8" s="261">
        <v>4486615322.8999996</v>
      </c>
      <c r="AP8" s="261">
        <v>2916619205.2600002</v>
      </c>
      <c r="AQ8" s="186"/>
      <c r="AS8" s="186"/>
    </row>
    <row r="9" spans="1:45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 t="shared" ref="D9:R9" si="1">+D10+D46</f>
        <v>0</v>
      </c>
      <c r="E9" s="6">
        <f t="shared" si="1"/>
        <v>1044032905</v>
      </c>
      <c r="F9" s="6">
        <f t="shared" si="1"/>
        <v>900000000</v>
      </c>
      <c r="G9" s="6">
        <f t="shared" si="1"/>
        <v>119289006476</v>
      </c>
      <c r="H9" s="6">
        <f t="shared" si="1"/>
        <v>19905828610</v>
      </c>
      <c r="I9" s="6">
        <f t="shared" si="1"/>
        <v>61141610109.199997</v>
      </c>
      <c r="J9" s="6">
        <f t="shared" ref="J9:J72" si="2">+G9-I9</f>
        <v>58147396366.800003</v>
      </c>
      <c r="K9" s="6">
        <f t="shared" si="1"/>
        <v>9091316160</v>
      </c>
      <c r="L9" s="6">
        <f t="shared" si="1"/>
        <v>46940031760</v>
      </c>
      <c r="M9" s="6">
        <f t="shared" si="1"/>
        <v>14201578349.200001</v>
      </c>
      <c r="N9" s="6">
        <f t="shared" si="1"/>
        <v>7113165876</v>
      </c>
      <c r="O9" s="6">
        <f t="shared" si="1"/>
        <v>65186761904.199997</v>
      </c>
      <c r="P9" s="6">
        <f t="shared" si="1"/>
        <v>4045151795</v>
      </c>
      <c r="Q9" s="6">
        <f t="shared" ref="Q9:Q72" si="3">+G9-O9</f>
        <v>54102244571.800003</v>
      </c>
      <c r="R9" s="6">
        <f t="shared" si="1"/>
        <v>46940031760</v>
      </c>
      <c r="T9" s="183" t="s">
        <v>9</v>
      </c>
      <c r="U9" s="259" t="s">
        <v>10</v>
      </c>
      <c r="V9" s="261">
        <v>119433039381</v>
      </c>
      <c r="W9" s="261">
        <v>0</v>
      </c>
      <c r="X9" s="261">
        <v>1044032905</v>
      </c>
      <c r="Y9" s="261">
        <v>900000000</v>
      </c>
      <c r="Z9" s="261">
        <v>119289006476</v>
      </c>
      <c r="AA9" s="261">
        <v>19905828610</v>
      </c>
      <c r="AB9" s="261">
        <v>61141610109.199997</v>
      </c>
      <c r="AC9" s="261">
        <v>58147396366.800003</v>
      </c>
      <c r="AD9" s="261">
        <v>9091316160</v>
      </c>
      <c r="AE9" s="261">
        <v>46940031760</v>
      </c>
      <c r="AF9" s="261">
        <v>14201578349.199997</v>
      </c>
      <c r="AG9" s="261">
        <v>7113165876</v>
      </c>
      <c r="AH9" s="261">
        <v>65186761904.199997</v>
      </c>
      <c r="AI9" s="261">
        <v>4045151795</v>
      </c>
      <c r="AJ9" s="261">
        <v>54102244571.800003</v>
      </c>
      <c r="AK9" s="261">
        <v>110537</v>
      </c>
      <c r="AL9" s="261">
        <v>764181080</v>
      </c>
      <c r="AM9" s="261">
        <v>58837887645.199997</v>
      </c>
      <c r="AN9" s="261">
        <v>58837777108.199997</v>
      </c>
      <c r="AO9" s="261">
        <v>16147570219</v>
      </c>
      <c r="AP9" s="261">
        <v>60451229367.800003</v>
      </c>
      <c r="AQ9" s="6"/>
      <c r="AS9" s="6"/>
    </row>
    <row r="10" spans="1:45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 t="shared" ref="D10:R10" si="4">+D11+D24+D37</f>
        <v>0</v>
      </c>
      <c r="E10" s="6">
        <f t="shared" si="4"/>
        <v>1044032905</v>
      </c>
      <c r="F10" s="6">
        <f t="shared" si="4"/>
        <v>0</v>
      </c>
      <c r="G10" s="6">
        <f t="shared" si="4"/>
        <v>84993704497</v>
      </c>
      <c r="H10" s="6">
        <f t="shared" si="4"/>
        <v>6160638336</v>
      </c>
      <c r="I10" s="6">
        <f t="shared" si="4"/>
        <v>33934107819</v>
      </c>
      <c r="J10" s="6">
        <f t="shared" si="2"/>
        <v>51059596678</v>
      </c>
      <c r="K10" s="6">
        <f t="shared" si="4"/>
        <v>6154766400</v>
      </c>
      <c r="L10" s="6">
        <f t="shared" si="4"/>
        <v>33928235883</v>
      </c>
      <c r="M10" s="6">
        <f t="shared" si="4"/>
        <v>5871936</v>
      </c>
      <c r="N10" s="6">
        <f t="shared" si="4"/>
        <v>6160488336</v>
      </c>
      <c r="O10" s="6">
        <f t="shared" si="4"/>
        <v>33960551560</v>
      </c>
      <c r="P10" s="6">
        <f t="shared" si="4"/>
        <v>26443741</v>
      </c>
      <c r="Q10" s="6">
        <f t="shared" si="3"/>
        <v>51033152937</v>
      </c>
      <c r="R10" s="6">
        <f t="shared" si="4"/>
        <v>33928235883</v>
      </c>
      <c r="T10" s="183" t="s">
        <v>11</v>
      </c>
      <c r="U10" s="259" t="s">
        <v>12</v>
      </c>
      <c r="V10" s="261">
        <v>86037737402</v>
      </c>
      <c r="W10" s="261">
        <v>0</v>
      </c>
      <c r="X10" s="261">
        <v>1044032905</v>
      </c>
      <c r="Y10" s="261">
        <v>0</v>
      </c>
      <c r="Z10" s="261">
        <v>84993704497</v>
      </c>
      <c r="AA10" s="261">
        <v>6160638336</v>
      </c>
      <c r="AB10" s="261">
        <v>33934107819</v>
      </c>
      <c r="AC10" s="261">
        <v>51059596678</v>
      </c>
      <c r="AD10" s="261">
        <v>6154766400</v>
      </c>
      <c r="AE10" s="261">
        <v>33928235883</v>
      </c>
      <c r="AF10" s="261">
        <v>5871936</v>
      </c>
      <c r="AG10" s="261">
        <v>6160488336</v>
      </c>
      <c r="AH10" s="261">
        <v>33960551560</v>
      </c>
      <c r="AI10" s="261">
        <v>26443741</v>
      </c>
      <c r="AJ10" s="261">
        <v>51033152937</v>
      </c>
      <c r="AK10" s="261">
        <v>0</v>
      </c>
      <c r="AL10" s="261">
        <v>52284197</v>
      </c>
      <c r="AM10" s="261">
        <v>27852347421</v>
      </c>
      <c r="AN10" s="261">
        <v>27852347421</v>
      </c>
      <c r="AO10" s="261">
        <v>32521225</v>
      </c>
      <c r="AP10" s="261">
        <v>57141357076</v>
      </c>
      <c r="AQ10" s="6">
        <f t="shared" ref="AQ10" si="5">+AQ11+AQ24+AQ37</f>
        <v>53926043504</v>
      </c>
      <c r="AS10" s="6">
        <f>+Q10-AQ10</f>
        <v>-2892890567</v>
      </c>
    </row>
    <row r="11" spans="1:45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 t="shared" ref="D11:R11" si="6">+D12+D22</f>
        <v>0</v>
      </c>
      <c r="E11" s="6">
        <f t="shared" si="6"/>
        <v>1044032905</v>
      </c>
      <c r="F11" s="6">
        <f t="shared" si="6"/>
        <v>0</v>
      </c>
      <c r="G11" s="6">
        <f t="shared" si="6"/>
        <v>62559695844</v>
      </c>
      <c r="H11" s="6">
        <f t="shared" si="6"/>
        <v>4641885131</v>
      </c>
      <c r="I11" s="6">
        <f t="shared" si="6"/>
        <v>21560513758</v>
      </c>
      <c r="J11" s="6">
        <f t="shared" si="2"/>
        <v>40999182086</v>
      </c>
      <c r="K11" s="6">
        <f t="shared" si="6"/>
        <v>4641885131</v>
      </c>
      <c r="L11" s="6">
        <f t="shared" si="6"/>
        <v>21560513758</v>
      </c>
      <c r="M11" s="6">
        <f t="shared" si="6"/>
        <v>0</v>
      </c>
      <c r="N11" s="6">
        <f t="shared" si="6"/>
        <v>4641885131</v>
      </c>
      <c r="O11" s="6">
        <f t="shared" si="6"/>
        <v>21573249230</v>
      </c>
      <c r="P11" s="6">
        <f t="shared" si="6"/>
        <v>12735472</v>
      </c>
      <c r="Q11" s="6">
        <f t="shared" si="3"/>
        <v>40986446614</v>
      </c>
      <c r="R11" s="6">
        <f t="shared" si="6"/>
        <v>21560513758</v>
      </c>
      <c r="T11" s="183" t="s">
        <v>13</v>
      </c>
      <c r="U11" s="259" t="s">
        <v>14</v>
      </c>
      <c r="V11" s="261">
        <v>63603728749</v>
      </c>
      <c r="W11" s="261">
        <v>0</v>
      </c>
      <c r="X11" s="261">
        <v>1044032905</v>
      </c>
      <c r="Y11" s="261">
        <v>0</v>
      </c>
      <c r="Z11" s="261">
        <v>62559695844</v>
      </c>
      <c r="AA11" s="261">
        <v>4641885131</v>
      </c>
      <c r="AB11" s="261">
        <v>21560513758</v>
      </c>
      <c r="AC11" s="261">
        <v>40999182086</v>
      </c>
      <c r="AD11" s="261">
        <v>4641885131</v>
      </c>
      <c r="AE11" s="261">
        <v>21560513758</v>
      </c>
      <c r="AF11" s="261">
        <v>0</v>
      </c>
      <c r="AG11" s="261">
        <v>4641885131</v>
      </c>
      <c r="AH11" s="261">
        <v>21573249230</v>
      </c>
      <c r="AI11" s="261">
        <v>12735472</v>
      </c>
      <c r="AJ11" s="261">
        <v>40986446614</v>
      </c>
      <c r="AK11" s="261">
        <v>0</v>
      </c>
      <c r="AL11" s="261">
        <v>5896679</v>
      </c>
      <c r="AM11" s="261">
        <v>16937260778</v>
      </c>
      <c r="AN11" s="261">
        <v>16937260778</v>
      </c>
      <c r="AO11" s="261">
        <v>18632151</v>
      </c>
      <c r="AP11" s="261">
        <v>45622435066</v>
      </c>
      <c r="AQ11" s="6">
        <f t="shared" ref="AQ11" si="7">+AQ12+AQ22</f>
        <v>43295821069</v>
      </c>
      <c r="AS11" s="6"/>
    </row>
    <row r="12" spans="1:45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 t="shared" ref="D12:R12" si="8">SUM(D13:D21)</f>
        <v>0</v>
      </c>
      <c r="E12" s="9">
        <f t="shared" si="8"/>
        <v>1044032905</v>
      </c>
      <c r="F12" s="9">
        <f t="shared" si="8"/>
        <v>0</v>
      </c>
      <c r="G12" s="9">
        <f t="shared" si="8"/>
        <v>62476956090</v>
      </c>
      <c r="H12" s="9">
        <f t="shared" si="8"/>
        <v>4634867261</v>
      </c>
      <c r="I12" s="9">
        <f t="shared" si="8"/>
        <v>21525423382</v>
      </c>
      <c r="J12" s="9">
        <f t="shared" si="2"/>
        <v>40951532708</v>
      </c>
      <c r="K12" s="9">
        <f t="shared" si="8"/>
        <v>4634867261</v>
      </c>
      <c r="L12" s="9">
        <f t="shared" si="8"/>
        <v>21525423382</v>
      </c>
      <c r="M12" s="9">
        <f t="shared" si="8"/>
        <v>0</v>
      </c>
      <c r="N12" s="9">
        <f t="shared" si="8"/>
        <v>4634867261</v>
      </c>
      <c r="O12" s="9">
        <f t="shared" si="8"/>
        <v>21538158854</v>
      </c>
      <c r="P12" s="9">
        <f t="shared" si="8"/>
        <v>12735472</v>
      </c>
      <c r="Q12" s="9">
        <f t="shared" si="3"/>
        <v>40938797236</v>
      </c>
      <c r="R12" s="9">
        <f t="shared" si="8"/>
        <v>21525423382</v>
      </c>
      <c r="T12" s="183" t="s">
        <v>15</v>
      </c>
      <c r="U12" s="259" t="s">
        <v>16</v>
      </c>
      <c r="V12" s="261">
        <v>63520988995</v>
      </c>
      <c r="W12" s="261">
        <v>0</v>
      </c>
      <c r="X12" s="261">
        <v>1044032905</v>
      </c>
      <c r="Y12" s="261">
        <v>0</v>
      </c>
      <c r="Z12" s="261">
        <v>62476956090</v>
      </c>
      <c r="AA12" s="261">
        <v>4634867261</v>
      </c>
      <c r="AB12" s="261">
        <v>21525423382</v>
      </c>
      <c r="AC12" s="261">
        <v>40951532708</v>
      </c>
      <c r="AD12" s="261">
        <v>4634867261</v>
      </c>
      <c r="AE12" s="261">
        <v>21525423382</v>
      </c>
      <c r="AF12" s="261">
        <v>0</v>
      </c>
      <c r="AG12" s="261">
        <v>4634867261</v>
      </c>
      <c r="AH12" s="261">
        <v>21538158854</v>
      </c>
      <c r="AI12" s="261">
        <v>12735472</v>
      </c>
      <c r="AJ12" s="261">
        <v>40938797236</v>
      </c>
      <c r="AK12" s="261">
        <v>0</v>
      </c>
      <c r="AL12" s="261">
        <v>5896679</v>
      </c>
      <c r="AM12" s="261">
        <v>16909188272</v>
      </c>
      <c r="AN12" s="261">
        <v>16909188272</v>
      </c>
      <c r="AO12" s="261">
        <v>18632151</v>
      </c>
      <c r="AP12" s="261">
        <v>45567767818</v>
      </c>
      <c r="AQ12" s="9">
        <f t="shared" ref="AQ12" si="9">SUM(AQ13:AQ21)</f>
        <v>43246695979</v>
      </c>
      <c r="AS12" s="9"/>
    </row>
    <row r="13" spans="1:45" x14ac:dyDescent="0.25">
      <c r="A13" s="2" t="s">
        <v>17</v>
      </c>
      <c r="B13" s="259" t="s">
        <v>18</v>
      </c>
      <c r="C13" s="261">
        <v>35035357285</v>
      </c>
      <c r="D13" s="261">
        <v>0</v>
      </c>
      <c r="E13" s="261">
        <f>794032905+250000000</f>
        <v>1044032905</v>
      </c>
      <c r="F13" s="261">
        <v>0</v>
      </c>
      <c r="G13" s="261">
        <f t="shared" ref="G13:G21" si="10">+C13+D13-E13+F13</f>
        <v>33991324380</v>
      </c>
      <c r="H13" s="261">
        <v>3075300517</v>
      </c>
      <c r="I13" s="261">
        <v>13641284617</v>
      </c>
      <c r="J13" s="261">
        <f t="shared" si="2"/>
        <v>20350039763</v>
      </c>
      <c r="K13" s="261">
        <v>3075300517</v>
      </c>
      <c r="L13" s="261">
        <v>13641284617</v>
      </c>
      <c r="M13" s="261">
        <f t="shared" ref="M13:M74" si="11">+I13-L13</f>
        <v>0</v>
      </c>
      <c r="N13" s="261">
        <v>3075300517</v>
      </c>
      <c r="O13" s="261">
        <v>13641284617</v>
      </c>
      <c r="P13" s="261">
        <f t="shared" ref="P13:P70" si="12">+O13-I13</f>
        <v>0</v>
      </c>
      <c r="Q13" s="177">
        <f t="shared" si="3"/>
        <v>20350039763</v>
      </c>
      <c r="R13" s="261">
        <f t="shared" ref="R13:R70" si="13">+L13</f>
        <v>13641284617</v>
      </c>
      <c r="T13" s="183" t="s">
        <v>17</v>
      </c>
      <c r="U13" s="259" t="s">
        <v>18</v>
      </c>
      <c r="V13" s="261">
        <v>35035357285</v>
      </c>
      <c r="W13" s="261">
        <v>0</v>
      </c>
      <c r="X13" s="261">
        <v>1044032905</v>
      </c>
      <c r="Y13" s="261">
        <v>0</v>
      </c>
      <c r="Z13" s="261">
        <v>33991324380</v>
      </c>
      <c r="AA13" s="261">
        <v>3075300517</v>
      </c>
      <c r="AB13" s="261">
        <v>13641284617</v>
      </c>
      <c r="AC13" s="261">
        <v>20350039763</v>
      </c>
      <c r="AD13" s="261">
        <v>3075300517</v>
      </c>
      <c r="AE13" s="261">
        <v>13641284617</v>
      </c>
      <c r="AF13" s="261">
        <v>0</v>
      </c>
      <c r="AG13" s="261">
        <v>3075300517</v>
      </c>
      <c r="AH13" s="261">
        <v>13641284617</v>
      </c>
      <c r="AI13" s="261">
        <v>0</v>
      </c>
      <c r="AJ13" s="261">
        <v>20350039763</v>
      </c>
      <c r="AK13" s="261">
        <v>0</v>
      </c>
      <c r="AL13" s="261">
        <v>230514</v>
      </c>
      <c r="AM13" s="261">
        <v>10566214614</v>
      </c>
      <c r="AN13" s="261">
        <v>10566214614</v>
      </c>
      <c r="AO13" s="261">
        <v>230514</v>
      </c>
      <c r="AP13" s="261">
        <v>23425109766</v>
      </c>
      <c r="AQ13" s="261">
        <f>+N13*7</f>
        <v>21527103619</v>
      </c>
      <c r="AS13" s="261">
        <f t="shared" ref="AS13:AS23" si="14">+Q13-AQ13</f>
        <v>-1177063856</v>
      </c>
    </row>
    <row r="14" spans="1:45" x14ac:dyDescent="0.25">
      <c r="A14" s="2" t="s">
        <v>19</v>
      </c>
      <c r="B14" s="259" t="s">
        <v>20</v>
      </c>
      <c r="C14" s="261">
        <v>14178822861</v>
      </c>
      <c r="D14" s="261">
        <v>0</v>
      </c>
      <c r="E14" s="261">
        <v>0</v>
      </c>
      <c r="F14" s="261">
        <v>0</v>
      </c>
      <c r="G14" s="261">
        <f t="shared" si="10"/>
        <v>14178822861</v>
      </c>
      <c r="H14" s="261">
        <v>1235253033</v>
      </c>
      <c r="I14" s="261">
        <v>6171286086</v>
      </c>
      <c r="J14" s="261">
        <f t="shared" si="2"/>
        <v>8007536775</v>
      </c>
      <c r="K14" s="261">
        <v>1235253033</v>
      </c>
      <c r="L14" s="261">
        <v>6171286086</v>
      </c>
      <c r="M14" s="261">
        <f t="shared" si="11"/>
        <v>0</v>
      </c>
      <c r="N14" s="261">
        <v>1235253033</v>
      </c>
      <c r="O14" s="261">
        <v>6171286086</v>
      </c>
      <c r="P14" s="261">
        <f t="shared" si="12"/>
        <v>0</v>
      </c>
      <c r="Q14" s="177">
        <f t="shared" si="3"/>
        <v>8007536775</v>
      </c>
      <c r="R14" s="261">
        <f t="shared" si="13"/>
        <v>6171286086</v>
      </c>
      <c r="T14" s="183" t="s">
        <v>19</v>
      </c>
      <c r="U14" s="259" t="s">
        <v>20</v>
      </c>
      <c r="V14" s="261">
        <v>14178822861</v>
      </c>
      <c r="W14" s="261">
        <v>0</v>
      </c>
      <c r="X14" s="261">
        <v>0</v>
      </c>
      <c r="Y14" s="261">
        <v>0</v>
      </c>
      <c r="Z14" s="261">
        <v>14178822861</v>
      </c>
      <c r="AA14" s="261">
        <v>1235253033</v>
      </c>
      <c r="AB14" s="261">
        <v>6171286086</v>
      </c>
      <c r="AC14" s="261">
        <v>8007536775</v>
      </c>
      <c r="AD14" s="261">
        <v>1235253033</v>
      </c>
      <c r="AE14" s="261">
        <v>6171286086</v>
      </c>
      <c r="AF14" s="261">
        <v>0</v>
      </c>
      <c r="AG14" s="261">
        <v>1235253033</v>
      </c>
      <c r="AH14" s="261">
        <v>6171286086</v>
      </c>
      <c r="AI14" s="261">
        <v>0</v>
      </c>
      <c r="AJ14" s="261">
        <v>8007536775</v>
      </c>
      <c r="AK14" s="261">
        <v>0</v>
      </c>
      <c r="AL14" s="261">
        <v>0</v>
      </c>
      <c r="AM14" s="261">
        <v>4936033053</v>
      </c>
      <c r="AN14" s="261">
        <v>4936033053</v>
      </c>
      <c r="AO14" s="261">
        <v>0</v>
      </c>
      <c r="AP14" s="261">
        <v>9242789808</v>
      </c>
      <c r="AQ14" s="261">
        <f t="shared" ref="AQ14:AQ45" si="15">+N14*7</f>
        <v>8646771231</v>
      </c>
      <c r="AS14" s="261">
        <f t="shared" si="14"/>
        <v>-639234456</v>
      </c>
    </row>
    <row r="15" spans="1:45" x14ac:dyDescent="0.25">
      <c r="A15" s="2" t="s">
        <v>21</v>
      </c>
      <c r="B15" s="259" t="s">
        <v>22</v>
      </c>
      <c r="C15" s="261">
        <v>282966745</v>
      </c>
      <c r="D15" s="261">
        <v>0</v>
      </c>
      <c r="E15" s="261">
        <v>0</v>
      </c>
      <c r="F15" s="261">
        <v>0</v>
      </c>
      <c r="G15" s="261">
        <f t="shared" si="10"/>
        <v>282966745</v>
      </c>
      <c r="H15" s="261">
        <v>24147446</v>
      </c>
      <c r="I15" s="261">
        <v>121047411</v>
      </c>
      <c r="J15" s="261">
        <f t="shared" si="2"/>
        <v>161919334</v>
      </c>
      <c r="K15" s="261">
        <v>24147446</v>
      </c>
      <c r="L15" s="261">
        <v>121047411</v>
      </c>
      <c r="M15" s="261">
        <f t="shared" si="11"/>
        <v>0</v>
      </c>
      <c r="N15" s="261">
        <v>24147446</v>
      </c>
      <c r="O15" s="261">
        <v>121047411</v>
      </c>
      <c r="P15" s="261">
        <f t="shared" si="12"/>
        <v>0</v>
      </c>
      <c r="Q15" s="177">
        <f t="shared" si="3"/>
        <v>161919334</v>
      </c>
      <c r="R15" s="261">
        <f t="shared" si="13"/>
        <v>121047411</v>
      </c>
      <c r="T15" s="183" t="s">
        <v>21</v>
      </c>
      <c r="U15" s="259" t="s">
        <v>22</v>
      </c>
      <c r="V15" s="261">
        <v>282966745</v>
      </c>
      <c r="W15" s="261">
        <v>0</v>
      </c>
      <c r="X15" s="261">
        <v>0</v>
      </c>
      <c r="Y15" s="261">
        <v>0</v>
      </c>
      <c r="Z15" s="261">
        <v>282966745</v>
      </c>
      <c r="AA15" s="261">
        <v>24147446</v>
      </c>
      <c r="AB15" s="261">
        <v>121047411</v>
      </c>
      <c r="AC15" s="261">
        <v>161919334</v>
      </c>
      <c r="AD15" s="261">
        <v>24147446</v>
      </c>
      <c r="AE15" s="261">
        <v>121047411</v>
      </c>
      <c r="AF15" s="261">
        <v>0</v>
      </c>
      <c r="AG15" s="261">
        <v>24147446</v>
      </c>
      <c r="AH15" s="261">
        <v>121047411</v>
      </c>
      <c r="AI15" s="261">
        <v>0</v>
      </c>
      <c r="AJ15" s="261">
        <v>161919334</v>
      </c>
      <c r="AK15" s="261">
        <v>0</v>
      </c>
      <c r="AL15" s="261">
        <v>0</v>
      </c>
      <c r="AM15" s="261">
        <v>96899965</v>
      </c>
      <c r="AN15" s="261">
        <v>96899965</v>
      </c>
      <c r="AO15" s="261">
        <v>0</v>
      </c>
      <c r="AP15" s="261">
        <v>186066780</v>
      </c>
      <c r="AQ15" s="261">
        <f t="shared" si="15"/>
        <v>169032122</v>
      </c>
      <c r="AS15" s="261">
        <f t="shared" si="14"/>
        <v>-7112788</v>
      </c>
    </row>
    <row r="16" spans="1:45" x14ac:dyDescent="0.25">
      <c r="A16" s="2" t="s">
        <v>23</v>
      </c>
      <c r="B16" s="259" t="s">
        <v>24</v>
      </c>
      <c r="C16" s="261">
        <v>287818985</v>
      </c>
      <c r="D16" s="261">
        <v>0</v>
      </c>
      <c r="E16" s="261">
        <v>0</v>
      </c>
      <c r="F16" s="261">
        <v>0</v>
      </c>
      <c r="G16" s="261">
        <f t="shared" si="10"/>
        <v>287818985</v>
      </c>
      <c r="H16" s="261">
        <v>33206162</v>
      </c>
      <c r="I16" s="261">
        <v>166449464</v>
      </c>
      <c r="J16" s="261">
        <f t="shared" si="2"/>
        <v>121369521</v>
      </c>
      <c r="K16" s="261">
        <v>33206162</v>
      </c>
      <c r="L16" s="261">
        <v>166449464</v>
      </c>
      <c r="M16" s="261">
        <f t="shared" si="11"/>
        <v>0</v>
      </c>
      <c r="N16" s="261">
        <v>33206162</v>
      </c>
      <c r="O16" s="261">
        <v>166449464</v>
      </c>
      <c r="P16" s="261">
        <f t="shared" si="12"/>
        <v>0</v>
      </c>
      <c r="Q16" s="177">
        <f t="shared" si="3"/>
        <v>121369521</v>
      </c>
      <c r="R16" s="261">
        <f t="shared" si="13"/>
        <v>166449464</v>
      </c>
      <c r="T16" s="183" t="s">
        <v>23</v>
      </c>
      <c r="U16" s="259" t="s">
        <v>24</v>
      </c>
      <c r="V16" s="261">
        <v>287818985</v>
      </c>
      <c r="W16" s="261">
        <v>0</v>
      </c>
      <c r="X16" s="261">
        <v>0</v>
      </c>
      <c r="Y16" s="261">
        <v>0</v>
      </c>
      <c r="Z16" s="261">
        <v>287818985</v>
      </c>
      <c r="AA16" s="261">
        <v>33206162</v>
      </c>
      <c r="AB16" s="261">
        <v>166449464</v>
      </c>
      <c r="AC16" s="261">
        <v>121369521</v>
      </c>
      <c r="AD16" s="261">
        <v>33206162</v>
      </c>
      <c r="AE16" s="261">
        <v>166449464</v>
      </c>
      <c r="AF16" s="261">
        <v>0</v>
      </c>
      <c r="AG16" s="261">
        <v>33206162</v>
      </c>
      <c r="AH16" s="261">
        <v>166449464</v>
      </c>
      <c r="AI16" s="261">
        <v>0</v>
      </c>
      <c r="AJ16" s="261">
        <v>121369521</v>
      </c>
      <c r="AK16" s="261">
        <v>0</v>
      </c>
      <c r="AL16" s="261">
        <v>0</v>
      </c>
      <c r="AM16" s="261">
        <v>133243302</v>
      </c>
      <c r="AN16" s="261">
        <v>133243302</v>
      </c>
      <c r="AO16" s="261">
        <v>0</v>
      </c>
      <c r="AP16" s="261">
        <v>154575683</v>
      </c>
      <c r="AQ16" s="261">
        <f t="shared" si="15"/>
        <v>232443134</v>
      </c>
      <c r="AS16" s="261">
        <f t="shared" si="14"/>
        <v>-111073613</v>
      </c>
    </row>
    <row r="17" spans="1:45" x14ac:dyDescent="0.25">
      <c r="A17" s="2" t="s">
        <v>25</v>
      </c>
      <c r="B17" s="259" t="s">
        <v>26</v>
      </c>
      <c r="C17" s="261">
        <v>3901842973</v>
      </c>
      <c r="D17" s="261">
        <v>0</v>
      </c>
      <c r="E17" s="261">
        <v>0</v>
      </c>
      <c r="F17" s="261">
        <v>0</v>
      </c>
      <c r="G17" s="261">
        <f t="shared" si="10"/>
        <v>3901842973</v>
      </c>
      <c r="H17" s="261">
        <v>987033</v>
      </c>
      <c r="I17" s="261">
        <v>1017689</v>
      </c>
      <c r="J17" s="261">
        <f t="shared" si="2"/>
        <v>3900825284</v>
      </c>
      <c r="K17" s="261">
        <v>987033</v>
      </c>
      <c r="L17" s="261">
        <v>1017689</v>
      </c>
      <c r="M17" s="261">
        <f t="shared" si="11"/>
        <v>0</v>
      </c>
      <c r="N17" s="261">
        <v>987033</v>
      </c>
      <c r="O17" s="261">
        <v>1246983</v>
      </c>
      <c r="P17" s="261">
        <f t="shared" si="12"/>
        <v>229294</v>
      </c>
      <c r="Q17" s="177">
        <f t="shared" si="3"/>
        <v>3900595990</v>
      </c>
      <c r="R17" s="261">
        <f t="shared" si="13"/>
        <v>1017689</v>
      </c>
      <c r="T17" s="183" t="s">
        <v>25</v>
      </c>
      <c r="U17" s="259" t="s">
        <v>26</v>
      </c>
      <c r="V17" s="261">
        <v>3901842973</v>
      </c>
      <c r="W17" s="261">
        <v>0</v>
      </c>
      <c r="X17" s="261">
        <v>0</v>
      </c>
      <c r="Y17" s="261">
        <v>0</v>
      </c>
      <c r="Z17" s="261">
        <v>3901842973</v>
      </c>
      <c r="AA17" s="261">
        <v>987033</v>
      </c>
      <c r="AB17" s="261">
        <v>1017689</v>
      </c>
      <c r="AC17" s="261">
        <v>3900825284</v>
      </c>
      <c r="AD17" s="261">
        <v>987033</v>
      </c>
      <c r="AE17" s="261">
        <v>1017689</v>
      </c>
      <c r="AF17" s="261">
        <v>0</v>
      </c>
      <c r="AG17" s="261">
        <v>987033</v>
      </c>
      <c r="AH17" s="261">
        <v>1246983</v>
      </c>
      <c r="AI17" s="261">
        <v>229294</v>
      </c>
      <c r="AJ17" s="261">
        <v>3900595990</v>
      </c>
      <c r="AK17" s="261">
        <v>0</v>
      </c>
      <c r="AL17" s="261">
        <v>987033</v>
      </c>
      <c r="AM17" s="261">
        <v>1246983</v>
      </c>
      <c r="AN17" s="261">
        <v>1246983</v>
      </c>
      <c r="AO17" s="261">
        <v>1216327</v>
      </c>
      <c r="AP17" s="261">
        <v>3900595990</v>
      </c>
      <c r="AQ17" s="261">
        <f>+Q17</f>
        <v>3900595990</v>
      </c>
      <c r="AS17" s="261">
        <f t="shared" si="14"/>
        <v>0</v>
      </c>
    </row>
    <row r="18" spans="1:45" x14ac:dyDescent="0.25">
      <c r="A18" s="2" t="s">
        <v>27</v>
      </c>
      <c r="B18" s="259" t="s">
        <v>28</v>
      </c>
      <c r="C18" s="261">
        <v>1879741074</v>
      </c>
      <c r="D18" s="261">
        <v>0</v>
      </c>
      <c r="E18" s="261">
        <v>0</v>
      </c>
      <c r="F18" s="261">
        <v>0</v>
      </c>
      <c r="G18" s="261">
        <f t="shared" si="10"/>
        <v>1879741074</v>
      </c>
      <c r="H18" s="261">
        <v>77889003</v>
      </c>
      <c r="I18" s="261">
        <v>724397616</v>
      </c>
      <c r="J18" s="261">
        <f t="shared" si="2"/>
        <v>1155343458</v>
      </c>
      <c r="K18" s="261">
        <v>77889003</v>
      </c>
      <c r="L18" s="261">
        <v>724397616</v>
      </c>
      <c r="M18" s="261">
        <f t="shared" si="11"/>
        <v>0</v>
      </c>
      <c r="N18" s="261">
        <v>77889003</v>
      </c>
      <c r="O18" s="261">
        <v>724485597</v>
      </c>
      <c r="P18" s="261">
        <f t="shared" si="12"/>
        <v>87981</v>
      </c>
      <c r="Q18" s="177">
        <f t="shared" si="3"/>
        <v>1155255477</v>
      </c>
      <c r="R18" s="261">
        <f t="shared" si="13"/>
        <v>724397616</v>
      </c>
      <c r="T18" s="183" t="s">
        <v>27</v>
      </c>
      <c r="U18" s="259" t="s">
        <v>28</v>
      </c>
      <c r="V18" s="261">
        <v>1879741074</v>
      </c>
      <c r="W18" s="261">
        <v>0</v>
      </c>
      <c r="X18" s="261">
        <v>0</v>
      </c>
      <c r="Y18" s="261">
        <v>0</v>
      </c>
      <c r="Z18" s="261">
        <v>1879741074</v>
      </c>
      <c r="AA18" s="261">
        <v>77889003</v>
      </c>
      <c r="AB18" s="261">
        <v>724397616</v>
      </c>
      <c r="AC18" s="261">
        <v>1155343458</v>
      </c>
      <c r="AD18" s="261">
        <v>77889003</v>
      </c>
      <c r="AE18" s="261">
        <v>724397616</v>
      </c>
      <c r="AF18" s="261">
        <v>0</v>
      </c>
      <c r="AG18" s="261">
        <v>77889003</v>
      </c>
      <c r="AH18" s="261">
        <v>724485597</v>
      </c>
      <c r="AI18" s="261">
        <v>87981</v>
      </c>
      <c r="AJ18" s="261">
        <v>1155255477</v>
      </c>
      <c r="AK18" s="261">
        <v>0</v>
      </c>
      <c r="AL18" s="261">
        <v>551755</v>
      </c>
      <c r="AM18" s="261">
        <v>647148349</v>
      </c>
      <c r="AN18" s="261">
        <v>647148349</v>
      </c>
      <c r="AO18" s="261">
        <v>639736</v>
      </c>
      <c r="AP18" s="261">
        <v>1232592725</v>
      </c>
      <c r="AQ18" s="261">
        <f t="shared" si="15"/>
        <v>545223021</v>
      </c>
      <c r="AS18" s="261">
        <f t="shared" si="14"/>
        <v>610032456</v>
      </c>
    </row>
    <row r="19" spans="1:45" x14ac:dyDescent="0.25">
      <c r="A19" s="2" t="s">
        <v>29</v>
      </c>
      <c r="B19" s="259" t="s">
        <v>30</v>
      </c>
      <c r="C19" s="261">
        <v>1001884022</v>
      </c>
      <c r="D19" s="261">
        <v>0</v>
      </c>
      <c r="E19" s="261">
        <v>0</v>
      </c>
      <c r="F19" s="261">
        <v>0</v>
      </c>
      <c r="G19" s="261">
        <f t="shared" si="10"/>
        <v>1001884022</v>
      </c>
      <c r="H19" s="261">
        <v>185453434</v>
      </c>
      <c r="I19" s="261">
        <v>687156470</v>
      </c>
      <c r="J19" s="261">
        <f t="shared" si="2"/>
        <v>314727552</v>
      </c>
      <c r="K19" s="261">
        <v>185453434</v>
      </c>
      <c r="L19" s="261">
        <v>687156470</v>
      </c>
      <c r="M19" s="261">
        <f t="shared" si="11"/>
        <v>0</v>
      </c>
      <c r="N19" s="261">
        <v>185453434</v>
      </c>
      <c r="O19" s="261">
        <v>687156470</v>
      </c>
      <c r="P19" s="261">
        <f t="shared" si="12"/>
        <v>0</v>
      </c>
      <c r="Q19" s="177">
        <f t="shared" si="3"/>
        <v>314727552</v>
      </c>
      <c r="R19" s="261">
        <f t="shared" si="13"/>
        <v>687156470</v>
      </c>
      <c r="T19" s="183" t="s">
        <v>29</v>
      </c>
      <c r="U19" s="259" t="s">
        <v>30</v>
      </c>
      <c r="V19" s="261">
        <v>1001884022</v>
      </c>
      <c r="W19" s="261">
        <v>0</v>
      </c>
      <c r="X19" s="261">
        <v>0</v>
      </c>
      <c r="Y19" s="261">
        <v>0</v>
      </c>
      <c r="Z19" s="261">
        <v>1001884022</v>
      </c>
      <c r="AA19" s="261">
        <v>185453434</v>
      </c>
      <c r="AB19" s="261">
        <v>687156470</v>
      </c>
      <c r="AC19" s="261">
        <v>314727552</v>
      </c>
      <c r="AD19" s="261">
        <v>185453434</v>
      </c>
      <c r="AE19" s="261">
        <v>687156470</v>
      </c>
      <c r="AF19" s="261">
        <v>0</v>
      </c>
      <c r="AG19" s="261">
        <v>185453434</v>
      </c>
      <c r="AH19" s="261">
        <v>687156470</v>
      </c>
      <c r="AI19" s="261">
        <v>0</v>
      </c>
      <c r="AJ19" s="261">
        <v>314727552</v>
      </c>
      <c r="AK19" s="261">
        <v>0</v>
      </c>
      <c r="AL19" s="261">
        <v>1496744</v>
      </c>
      <c r="AM19" s="261">
        <v>503199780</v>
      </c>
      <c r="AN19" s="261">
        <v>503199780</v>
      </c>
      <c r="AO19" s="261">
        <v>1496744</v>
      </c>
      <c r="AP19" s="261">
        <v>498684242</v>
      </c>
      <c r="AQ19" s="261">
        <f t="shared" si="15"/>
        <v>1298174038</v>
      </c>
      <c r="AS19" s="261">
        <f t="shared" si="14"/>
        <v>-983446486</v>
      </c>
    </row>
    <row r="20" spans="1:45" x14ac:dyDescent="0.25">
      <c r="A20" s="2" t="s">
        <v>31</v>
      </c>
      <c r="B20" s="259" t="s">
        <v>32</v>
      </c>
      <c r="C20" s="261">
        <v>4284224700</v>
      </c>
      <c r="D20" s="261">
        <v>0</v>
      </c>
      <c r="E20" s="261">
        <v>0</v>
      </c>
      <c r="F20" s="261">
        <v>0</v>
      </c>
      <c r="G20" s="261">
        <f t="shared" si="10"/>
        <v>4284224700</v>
      </c>
      <c r="H20" s="261">
        <v>298566</v>
      </c>
      <c r="I20" s="261">
        <v>696985</v>
      </c>
      <c r="J20" s="261">
        <f t="shared" si="2"/>
        <v>4283527715</v>
      </c>
      <c r="K20" s="261">
        <v>298566</v>
      </c>
      <c r="L20" s="261">
        <v>696985</v>
      </c>
      <c r="M20" s="261">
        <f t="shared" si="11"/>
        <v>0</v>
      </c>
      <c r="N20" s="261">
        <v>298566</v>
      </c>
      <c r="O20" s="261">
        <v>7346532</v>
      </c>
      <c r="P20" s="261">
        <f t="shared" si="12"/>
        <v>6649547</v>
      </c>
      <c r="Q20" s="177">
        <f t="shared" si="3"/>
        <v>4276878168</v>
      </c>
      <c r="R20" s="261">
        <f t="shared" si="13"/>
        <v>696985</v>
      </c>
      <c r="T20" s="183" t="s">
        <v>31</v>
      </c>
      <c r="U20" s="259" t="s">
        <v>32</v>
      </c>
      <c r="V20" s="261">
        <v>4284224700</v>
      </c>
      <c r="W20" s="261">
        <v>0</v>
      </c>
      <c r="X20" s="261">
        <v>0</v>
      </c>
      <c r="Y20" s="261">
        <v>0</v>
      </c>
      <c r="Z20" s="261">
        <v>4284224700</v>
      </c>
      <c r="AA20" s="261">
        <v>298566</v>
      </c>
      <c r="AB20" s="261">
        <v>696985</v>
      </c>
      <c r="AC20" s="261">
        <v>4283527715</v>
      </c>
      <c r="AD20" s="261">
        <v>298566</v>
      </c>
      <c r="AE20" s="261">
        <v>696985</v>
      </c>
      <c r="AF20" s="261">
        <v>0</v>
      </c>
      <c r="AG20" s="261">
        <v>298566</v>
      </c>
      <c r="AH20" s="261">
        <v>7346532</v>
      </c>
      <c r="AI20" s="261">
        <v>6649547</v>
      </c>
      <c r="AJ20" s="261">
        <v>4276878168</v>
      </c>
      <c r="AK20" s="261">
        <v>0</v>
      </c>
      <c r="AL20" s="261">
        <v>298566</v>
      </c>
      <c r="AM20" s="261">
        <v>7346532</v>
      </c>
      <c r="AN20" s="261">
        <v>7346532</v>
      </c>
      <c r="AO20" s="261">
        <v>6948113</v>
      </c>
      <c r="AP20" s="261">
        <v>4276878168</v>
      </c>
      <c r="AQ20" s="261">
        <f t="shared" ref="AQ20:AQ21" si="16">+Q20</f>
        <v>4276878168</v>
      </c>
      <c r="AS20" s="261">
        <f t="shared" si="14"/>
        <v>0</v>
      </c>
    </row>
    <row r="21" spans="1:45" x14ac:dyDescent="0.25">
      <c r="A21" s="2" t="s">
        <v>33</v>
      </c>
      <c r="B21" s="259" t="s">
        <v>34</v>
      </c>
      <c r="C21" s="261">
        <v>2668330350</v>
      </c>
      <c r="D21" s="261">
        <v>0</v>
      </c>
      <c r="E21" s="261">
        <v>0</v>
      </c>
      <c r="F21" s="261">
        <v>0</v>
      </c>
      <c r="G21" s="261">
        <f t="shared" si="10"/>
        <v>2668330350</v>
      </c>
      <c r="H21" s="261">
        <v>2332067</v>
      </c>
      <c r="I21" s="261">
        <v>12087044</v>
      </c>
      <c r="J21" s="261">
        <f t="shared" si="2"/>
        <v>2656243306</v>
      </c>
      <c r="K21" s="261">
        <v>2332067</v>
      </c>
      <c r="L21" s="261">
        <v>12087044</v>
      </c>
      <c r="M21" s="261">
        <f t="shared" si="11"/>
        <v>0</v>
      </c>
      <c r="N21" s="261">
        <v>2332067</v>
      </c>
      <c r="O21" s="261">
        <v>17855694</v>
      </c>
      <c r="P21" s="261">
        <f t="shared" si="12"/>
        <v>5768650</v>
      </c>
      <c r="Q21" s="177">
        <f t="shared" si="3"/>
        <v>2650474656</v>
      </c>
      <c r="R21" s="261">
        <f t="shared" si="13"/>
        <v>12087044</v>
      </c>
      <c r="T21" s="183" t="s">
        <v>33</v>
      </c>
      <c r="U21" s="259" t="s">
        <v>34</v>
      </c>
      <c r="V21" s="261">
        <v>2668330350</v>
      </c>
      <c r="W21" s="261">
        <v>0</v>
      </c>
      <c r="X21" s="261">
        <v>0</v>
      </c>
      <c r="Y21" s="261">
        <v>0</v>
      </c>
      <c r="Z21" s="261">
        <v>2668330350</v>
      </c>
      <c r="AA21" s="261">
        <v>2332067</v>
      </c>
      <c r="AB21" s="261">
        <v>12087044</v>
      </c>
      <c r="AC21" s="261">
        <v>2656243306</v>
      </c>
      <c r="AD21" s="261">
        <v>2332067</v>
      </c>
      <c r="AE21" s="261">
        <v>12087044</v>
      </c>
      <c r="AF21" s="261">
        <v>0</v>
      </c>
      <c r="AG21" s="261">
        <v>2332067</v>
      </c>
      <c r="AH21" s="261">
        <v>17855694</v>
      </c>
      <c r="AI21" s="261">
        <v>5768650</v>
      </c>
      <c r="AJ21" s="261">
        <v>2650474656</v>
      </c>
      <c r="AK21" s="261">
        <v>0</v>
      </c>
      <c r="AL21" s="261">
        <v>2332067</v>
      </c>
      <c r="AM21" s="261">
        <v>17855694</v>
      </c>
      <c r="AN21" s="261">
        <v>17855694</v>
      </c>
      <c r="AO21" s="261">
        <v>8100717</v>
      </c>
      <c r="AP21" s="261">
        <v>2650474656</v>
      </c>
      <c r="AQ21" s="261">
        <f t="shared" si="16"/>
        <v>2650474656</v>
      </c>
      <c r="AS21" s="261">
        <f t="shared" si="14"/>
        <v>0</v>
      </c>
    </row>
    <row r="22" spans="1:45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 t="shared" ref="D22:R22" si="17">+D23</f>
        <v>0</v>
      </c>
      <c r="E22" s="9">
        <f t="shared" si="17"/>
        <v>0</v>
      </c>
      <c r="F22" s="9">
        <f t="shared" si="17"/>
        <v>0</v>
      </c>
      <c r="G22" s="9">
        <f t="shared" si="17"/>
        <v>82739754</v>
      </c>
      <c r="H22" s="9">
        <f t="shared" si="17"/>
        <v>7017870</v>
      </c>
      <c r="I22" s="9">
        <f t="shared" si="17"/>
        <v>35090376</v>
      </c>
      <c r="J22" s="9">
        <f t="shared" si="2"/>
        <v>47649378</v>
      </c>
      <c r="K22" s="9">
        <f t="shared" si="17"/>
        <v>7017870</v>
      </c>
      <c r="L22" s="9">
        <f t="shared" si="17"/>
        <v>35090376</v>
      </c>
      <c r="M22" s="9">
        <f t="shared" si="17"/>
        <v>0</v>
      </c>
      <c r="N22" s="9">
        <f t="shared" si="17"/>
        <v>7017870</v>
      </c>
      <c r="O22" s="9">
        <f t="shared" si="17"/>
        <v>35090376</v>
      </c>
      <c r="P22" s="9">
        <f t="shared" si="17"/>
        <v>0</v>
      </c>
      <c r="Q22" s="9">
        <f t="shared" si="3"/>
        <v>47649378</v>
      </c>
      <c r="R22" s="9">
        <f t="shared" si="17"/>
        <v>35090376</v>
      </c>
      <c r="T22" s="183" t="s">
        <v>35</v>
      </c>
      <c r="U22" s="259" t="s">
        <v>36</v>
      </c>
      <c r="V22" s="261">
        <v>82739754</v>
      </c>
      <c r="W22" s="261">
        <v>0</v>
      </c>
      <c r="X22" s="261">
        <v>0</v>
      </c>
      <c r="Y22" s="261">
        <v>0</v>
      </c>
      <c r="Z22" s="261">
        <v>82739754</v>
      </c>
      <c r="AA22" s="261">
        <v>7017870</v>
      </c>
      <c r="AB22" s="261">
        <v>35090376</v>
      </c>
      <c r="AC22" s="261">
        <v>47649378</v>
      </c>
      <c r="AD22" s="261">
        <v>7017870</v>
      </c>
      <c r="AE22" s="261">
        <v>35090376</v>
      </c>
      <c r="AF22" s="261">
        <v>0</v>
      </c>
      <c r="AG22" s="261">
        <v>7017870</v>
      </c>
      <c r="AH22" s="261">
        <v>35090376</v>
      </c>
      <c r="AI22" s="261">
        <v>0</v>
      </c>
      <c r="AJ22" s="261">
        <v>47649378</v>
      </c>
      <c r="AK22" s="261">
        <v>0</v>
      </c>
      <c r="AL22" s="261">
        <v>0</v>
      </c>
      <c r="AM22" s="261">
        <v>28072506</v>
      </c>
      <c r="AN22" s="261">
        <v>28072506</v>
      </c>
      <c r="AO22" s="261">
        <v>0</v>
      </c>
      <c r="AP22" s="261">
        <v>54667248</v>
      </c>
      <c r="AQ22" s="9">
        <f t="shared" si="15"/>
        <v>49125090</v>
      </c>
      <c r="AS22" s="9"/>
    </row>
    <row r="23" spans="1:45" x14ac:dyDescent="0.25">
      <c r="A23" s="2" t="s">
        <v>37</v>
      </c>
      <c r="B23" s="259" t="s">
        <v>38</v>
      </c>
      <c r="C23" s="261">
        <v>82739754</v>
      </c>
      <c r="D23" s="261">
        <v>0</v>
      </c>
      <c r="E23" s="261">
        <v>0</v>
      </c>
      <c r="F23" s="261">
        <v>0</v>
      </c>
      <c r="G23" s="261">
        <f>+C23+D23-E23+F23</f>
        <v>82739754</v>
      </c>
      <c r="H23" s="261">
        <v>7017870</v>
      </c>
      <c r="I23" s="261">
        <v>35090376</v>
      </c>
      <c r="J23" s="261">
        <f t="shared" si="2"/>
        <v>47649378</v>
      </c>
      <c r="K23" s="261">
        <v>7017870</v>
      </c>
      <c r="L23" s="261">
        <v>35090376</v>
      </c>
      <c r="M23" s="261">
        <f t="shared" si="11"/>
        <v>0</v>
      </c>
      <c r="N23" s="261">
        <v>7017870</v>
      </c>
      <c r="O23" s="261">
        <v>35090376</v>
      </c>
      <c r="P23" s="261">
        <f t="shared" si="12"/>
        <v>0</v>
      </c>
      <c r="Q23" s="177">
        <f t="shared" si="3"/>
        <v>47649378</v>
      </c>
      <c r="R23" s="261">
        <f t="shared" si="13"/>
        <v>35090376</v>
      </c>
      <c r="T23" s="183" t="s">
        <v>37</v>
      </c>
      <c r="U23" s="259" t="s">
        <v>38</v>
      </c>
      <c r="V23" s="261">
        <v>82739754</v>
      </c>
      <c r="W23" s="261">
        <v>0</v>
      </c>
      <c r="X23" s="261">
        <v>0</v>
      </c>
      <c r="Y23" s="261">
        <v>0</v>
      </c>
      <c r="Z23" s="261">
        <v>82739754</v>
      </c>
      <c r="AA23" s="261">
        <v>7017870</v>
      </c>
      <c r="AB23" s="261">
        <v>35090376</v>
      </c>
      <c r="AC23" s="261">
        <v>47649378</v>
      </c>
      <c r="AD23" s="261">
        <v>7017870</v>
      </c>
      <c r="AE23" s="261">
        <v>35090376</v>
      </c>
      <c r="AF23" s="261">
        <v>0</v>
      </c>
      <c r="AG23" s="261">
        <v>7017870</v>
      </c>
      <c r="AH23" s="261">
        <v>35090376</v>
      </c>
      <c r="AI23" s="261">
        <v>0</v>
      </c>
      <c r="AJ23" s="261">
        <v>47649378</v>
      </c>
      <c r="AK23" s="261">
        <v>0</v>
      </c>
      <c r="AL23" s="261">
        <v>0</v>
      </c>
      <c r="AM23" s="261">
        <v>28072506</v>
      </c>
      <c r="AN23" s="261">
        <v>28072506</v>
      </c>
      <c r="AO23" s="261">
        <v>0</v>
      </c>
      <c r="AP23" s="261">
        <v>54667248</v>
      </c>
      <c r="AQ23" s="261">
        <f t="shared" si="15"/>
        <v>49125090</v>
      </c>
      <c r="AS23" s="261">
        <f t="shared" si="14"/>
        <v>-1475712</v>
      </c>
    </row>
    <row r="24" spans="1:45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 t="shared" ref="D24:R24" si="18">+D25+D27+D29+D31+D33+D35</f>
        <v>0</v>
      </c>
      <c r="E24" s="6">
        <f t="shared" si="18"/>
        <v>0</v>
      </c>
      <c r="F24" s="6">
        <f t="shared" si="18"/>
        <v>0</v>
      </c>
      <c r="G24" s="6">
        <f t="shared" si="18"/>
        <v>20008799503</v>
      </c>
      <c r="H24" s="6">
        <f t="shared" si="18"/>
        <v>1417190935</v>
      </c>
      <c r="I24" s="6">
        <f t="shared" si="18"/>
        <v>11674890761</v>
      </c>
      <c r="J24" s="6">
        <f t="shared" si="2"/>
        <v>8333908742</v>
      </c>
      <c r="K24" s="6">
        <f t="shared" si="18"/>
        <v>1417190935</v>
      </c>
      <c r="L24" s="6">
        <f t="shared" si="18"/>
        <v>11674890761</v>
      </c>
      <c r="M24" s="6">
        <f t="shared" si="18"/>
        <v>0</v>
      </c>
      <c r="N24" s="6">
        <f t="shared" si="18"/>
        <v>1417190935</v>
      </c>
      <c r="O24" s="6">
        <f t="shared" si="18"/>
        <v>11687399030</v>
      </c>
      <c r="P24" s="6">
        <f t="shared" si="18"/>
        <v>12508269</v>
      </c>
      <c r="Q24" s="6">
        <f t="shared" si="3"/>
        <v>8321400473</v>
      </c>
      <c r="R24" s="6">
        <f t="shared" si="18"/>
        <v>11674890761</v>
      </c>
      <c r="T24" s="183" t="s">
        <v>39</v>
      </c>
      <c r="U24" s="259" t="s">
        <v>40</v>
      </c>
      <c r="V24" s="261">
        <v>20008799503</v>
      </c>
      <c r="W24" s="261">
        <v>0</v>
      </c>
      <c r="X24" s="261">
        <v>0</v>
      </c>
      <c r="Y24" s="261">
        <v>0</v>
      </c>
      <c r="Z24" s="261">
        <v>20008799503</v>
      </c>
      <c r="AA24" s="261">
        <v>1417190935</v>
      </c>
      <c r="AB24" s="261">
        <v>11674890761</v>
      </c>
      <c r="AC24" s="261">
        <v>8333908742</v>
      </c>
      <c r="AD24" s="261">
        <v>1417190935</v>
      </c>
      <c r="AE24" s="261">
        <v>11674890761</v>
      </c>
      <c r="AF24" s="261">
        <v>0</v>
      </c>
      <c r="AG24" s="261">
        <v>1417190935</v>
      </c>
      <c r="AH24" s="261">
        <v>11687399030</v>
      </c>
      <c r="AI24" s="261">
        <v>12508269</v>
      </c>
      <c r="AJ24" s="261">
        <v>8321400473</v>
      </c>
      <c r="AK24" s="261">
        <v>0</v>
      </c>
      <c r="AL24" s="261">
        <v>180805</v>
      </c>
      <c r="AM24" s="261">
        <v>10270388900</v>
      </c>
      <c r="AN24" s="261">
        <v>10270388900</v>
      </c>
      <c r="AO24" s="261">
        <v>12689074</v>
      </c>
      <c r="AP24" s="261">
        <v>9738410603</v>
      </c>
      <c r="AQ24" s="6">
        <f>+N24*7</f>
        <v>9920336545</v>
      </c>
      <c r="AS24" s="6"/>
    </row>
    <row r="25" spans="1:45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 t="shared" ref="D25:R25" si="19">+D26</f>
        <v>0</v>
      </c>
      <c r="E25" s="9">
        <f t="shared" si="19"/>
        <v>0</v>
      </c>
      <c r="F25" s="9">
        <f t="shared" si="19"/>
        <v>0</v>
      </c>
      <c r="G25" s="9">
        <f t="shared" si="19"/>
        <v>6048805267</v>
      </c>
      <c r="H25" s="9">
        <f t="shared" si="19"/>
        <v>565838252</v>
      </c>
      <c r="I25" s="9">
        <f t="shared" si="19"/>
        <v>2627631054.6900001</v>
      </c>
      <c r="J25" s="9">
        <f t="shared" si="2"/>
        <v>3421174212.3099999</v>
      </c>
      <c r="K25" s="9">
        <f t="shared" si="19"/>
        <v>565838252</v>
      </c>
      <c r="L25" s="9">
        <f t="shared" si="19"/>
        <v>2627631054.6900001</v>
      </c>
      <c r="M25" s="9">
        <f t="shared" si="19"/>
        <v>0</v>
      </c>
      <c r="N25" s="9">
        <f t="shared" si="19"/>
        <v>565838252</v>
      </c>
      <c r="O25" s="9">
        <f t="shared" si="19"/>
        <v>2627631054.6900001</v>
      </c>
      <c r="P25" s="9">
        <f t="shared" si="19"/>
        <v>0</v>
      </c>
      <c r="Q25" s="9">
        <f t="shared" si="3"/>
        <v>3421174212.3099999</v>
      </c>
      <c r="R25" s="9">
        <f t="shared" si="19"/>
        <v>2627631054.6900001</v>
      </c>
      <c r="T25" s="183" t="s">
        <v>41</v>
      </c>
      <c r="U25" s="259" t="s">
        <v>42</v>
      </c>
      <c r="V25" s="261">
        <v>6048805267</v>
      </c>
      <c r="W25" s="261">
        <v>0</v>
      </c>
      <c r="X25" s="261">
        <v>0</v>
      </c>
      <c r="Y25" s="261">
        <v>0</v>
      </c>
      <c r="Z25" s="261">
        <v>6048805267</v>
      </c>
      <c r="AA25" s="261">
        <v>565838252</v>
      </c>
      <c r="AB25" s="261">
        <v>2627631054.6900001</v>
      </c>
      <c r="AC25" s="261">
        <v>3421174212.3099999</v>
      </c>
      <c r="AD25" s="261">
        <v>565838252</v>
      </c>
      <c r="AE25" s="261">
        <v>2627631054.6900001</v>
      </c>
      <c r="AF25" s="261">
        <v>0</v>
      </c>
      <c r="AG25" s="261">
        <v>565838252</v>
      </c>
      <c r="AH25" s="261">
        <v>2627631054.6900001</v>
      </c>
      <c r="AI25" s="261">
        <v>0</v>
      </c>
      <c r="AJ25" s="261">
        <v>3421174212.3099999</v>
      </c>
      <c r="AK25" s="261">
        <v>0</v>
      </c>
      <c r="AL25" s="261">
        <v>0</v>
      </c>
      <c r="AM25" s="261">
        <v>2061792802.6900001</v>
      </c>
      <c r="AN25" s="261">
        <v>2061792802.6900001</v>
      </c>
      <c r="AO25" s="261">
        <v>0</v>
      </c>
      <c r="AP25" s="261">
        <v>3987012464.3099999</v>
      </c>
      <c r="AQ25" s="9">
        <f t="shared" si="15"/>
        <v>3960867764</v>
      </c>
      <c r="AS25" s="9"/>
    </row>
    <row r="26" spans="1:45" x14ac:dyDescent="0.25">
      <c r="A26" s="2" t="s">
        <v>43</v>
      </c>
      <c r="B26" s="259" t="s">
        <v>42</v>
      </c>
      <c r="C26" s="261">
        <v>6048805267</v>
      </c>
      <c r="D26" s="261">
        <v>0</v>
      </c>
      <c r="E26" s="261">
        <v>0</v>
      </c>
      <c r="F26" s="261">
        <v>0</v>
      </c>
      <c r="G26" s="261">
        <f>+C26+D26-E26+F26</f>
        <v>6048805267</v>
      </c>
      <c r="H26" s="261">
        <v>565838252</v>
      </c>
      <c r="I26" s="261">
        <v>2627631054.6900001</v>
      </c>
      <c r="J26" s="261">
        <f t="shared" si="2"/>
        <v>3421174212.3099999</v>
      </c>
      <c r="K26" s="261">
        <v>565838252</v>
      </c>
      <c r="L26" s="261">
        <v>2627631054.6900001</v>
      </c>
      <c r="M26" s="261">
        <f t="shared" si="11"/>
        <v>0</v>
      </c>
      <c r="N26" s="261">
        <v>565838252</v>
      </c>
      <c r="O26" s="261">
        <v>2627631054.6900001</v>
      </c>
      <c r="P26" s="261">
        <f t="shared" si="12"/>
        <v>0</v>
      </c>
      <c r="Q26" s="177">
        <f t="shared" si="3"/>
        <v>3421174212.3099999</v>
      </c>
      <c r="R26" s="261">
        <f t="shared" si="13"/>
        <v>2627631054.6900001</v>
      </c>
      <c r="T26" s="183" t="s">
        <v>43</v>
      </c>
      <c r="U26" s="259" t="s">
        <v>42</v>
      </c>
      <c r="V26" s="261">
        <v>6048805267</v>
      </c>
      <c r="W26" s="261">
        <v>0</v>
      </c>
      <c r="X26" s="261">
        <v>0</v>
      </c>
      <c r="Y26" s="261">
        <v>0</v>
      </c>
      <c r="Z26" s="261">
        <v>6048805267</v>
      </c>
      <c r="AA26" s="261">
        <v>565838252</v>
      </c>
      <c r="AB26" s="261">
        <v>2627631054.6900001</v>
      </c>
      <c r="AC26" s="261">
        <v>3421174212.3099999</v>
      </c>
      <c r="AD26" s="261">
        <v>565838252</v>
      </c>
      <c r="AE26" s="261">
        <v>2627631054.6900001</v>
      </c>
      <c r="AF26" s="261">
        <v>0</v>
      </c>
      <c r="AG26" s="261">
        <v>565838252</v>
      </c>
      <c r="AH26" s="261">
        <v>2627631054.6900001</v>
      </c>
      <c r="AI26" s="261">
        <v>0</v>
      </c>
      <c r="AJ26" s="261">
        <v>3421174212.3099999</v>
      </c>
      <c r="AK26" s="261">
        <v>0</v>
      </c>
      <c r="AL26" s="261">
        <v>0</v>
      </c>
      <c r="AM26" s="261">
        <v>2061792802.6900001</v>
      </c>
      <c r="AN26" s="261">
        <v>2061792802.6900001</v>
      </c>
      <c r="AO26" s="261">
        <v>0</v>
      </c>
      <c r="AP26" s="261">
        <v>3987012464.3099999</v>
      </c>
      <c r="AQ26" s="261">
        <f t="shared" si="15"/>
        <v>3960867764</v>
      </c>
      <c r="AS26" s="261">
        <f t="shared" ref="AS26" si="20">+Q26-AQ26</f>
        <v>-539693551.69000006</v>
      </c>
    </row>
    <row r="27" spans="1:45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 t="shared" ref="D27:R27" si="21">+D28</f>
        <v>0</v>
      </c>
      <c r="E27" s="9">
        <f t="shared" si="21"/>
        <v>0</v>
      </c>
      <c r="F27" s="9">
        <f t="shared" si="21"/>
        <v>0</v>
      </c>
      <c r="G27" s="9">
        <f t="shared" si="21"/>
        <v>4422518992</v>
      </c>
      <c r="H27" s="9">
        <f t="shared" si="21"/>
        <v>426860435</v>
      </c>
      <c r="I27" s="9">
        <f t="shared" si="21"/>
        <v>1982247988.3099999</v>
      </c>
      <c r="J27" s="9">
        <f t="shared" si="2"/>
        <v>2440271003.6900001</v>
      </c>
      <c r="K27" s="9">
        <f t="shared" si="21"/>
        <v>426860435</v>
      </c>
      <c r="L27" s="9">
        <f t="shared" si="21"/>
        <v>1982247988.3099999</v>
      </c>
      <c r="M27" s="9">
        <f t="shared" si="21"/>
        <v>0</v>
      </c>
      <c r="N27" s="9">
        <f t="shared" si="21"/>
        <v>426860435</v>
      </c>
      <c r="O27" s="9">
        <f t="shared" si="21"/>
        <v>1982247988.3099999</v>
      </c>
      <c r="P27" s="9">
        <f t="shared" si="21"/>
        <v>0</v>
      </c>
      <c r="Q27" s="9">
        <f t="shared" si="3"/>
        <v>2440271003.6900001</v>
      </c>
      <c r="R27" s="9">
        <f t="shared" si="21"/>
        <v>1982247988.3099999</v>
      </c>
      <c r="T27" s="183" t="s">
        <v>44</v>
      </c>
      <c r="U27" s="259" t="s">
        <v>45</v>
      </c>
      <c r="V27" s="261">
        <v>4422518992</v>
      </c>
      <c r="W27" s="261">
        <v>0</v>
      </c>
      <c r="X27" s="261">
        <v>0</v>
      </c>
      <c r="Y27" s="261">
        <v>0</v>
      </c>
      <c r="Z27" s="261">
        <v>4422518992</v>
      </c>
      <c r="AA27" s="261">
        <v>426860435</v>
      </c>
      <c r="AB27" s="261">
        <v>1982247988.3099999</v>
      </c>
      <c r="AC27" s="261">
        <v>2440271003.6900001</v>
      </c>
      <c r="AD27" s="261">
        <v>426860435</v>
      </c>
      <c r="AE27" s="261">
        <v>1982247988.3099999</v>
      </c>
      <c r="AF27" s="261">
        <v>0</v>
      </c>
      <c r="AG27" s="261">
        <v>426860435</v>
      </c>
      <c r="AH27" s="261">
        <v>1982247988.3099999</v>
      </c>
      <c r="AI27" s="261">
        <v>0</v>
      </c>
      <c r="AJ27" s="261">
        <v>2440271003.6900001</v>
      </c>
      <c r="AK27" s="261">
        <v>0</v>
      </c>
      <c r="AL27" s="261">
        <v>0</v>
      </c>
      <c r="AM27" s="261">
        <v>1555387553.3099999</v>
      </c>
      <c r="AN27" s="261">
        <v>1555387553.3099999</v>
      </c>
      <c r="AO27" s="261">
        <v>0</v>
      </c>
      <c r="AP27" s="261">
        <v>2867131438.6900001</v>
      </c>
      <c r="AQ27" s="9">
        <f t="shared" si="15"/>
        <v>2988023045</v>
      </c>
      <c r="AS27" s="9"/>
    </row>
    <row r="28" spans="1:45" x14ac:dyDescent="0.25">
      <c r="A28" s="2" t="s">
        <v>46</v>
      </c>
      <c r="B28" s="259" t="s">
        <v>45</v>
      </c>
      <c r="C28" s="261">
        <v>4422518992</v>
      </c>
      <c r="D28" s="261">
        <v>0</v>
      </c>
      <c r="E28" s="261">
        <v>0</v>
      </c>
      <c r="F28" s="261">
        <v>0</v>
      </c>
      <c r="G28" s="261">
        <f>+C28+D28-E28+F28</f>
        <v>4422518992</v>
      </c>
      <c r="H28" s="261">
        <v>426860435</v>
      </c>
      <c r="I28" s="261">
        <v>1982247988.3099999</v>
      </c>
      <c r="J28" s="261">
        <f t="shared" si="2"/>
        <v>2440271003.6900001</v>
      </c>
      <c r="K28" s="261">
        <v>426860435</v>
      </c>
      <c r="L28" s="261">
        <v>1982247988.3099999</v>
      </c>
      <c r="M28" s="261">
        <f t="shared" si="11"/>
        <v>0</v>
      </c>
      <c r="N28" s="261">
        <v>426860435</v>
      </c>
      <c r="O28" s="261">
        <v>1982247988.3099999</v>
      </c>
      <c r="P28" s="261">
        <f t="shared" si="12"/>
        <v>0</v>
      </c>
      <c r="Q28" s="177">
        <f t="shared" si="3"/>
        <v>2440271003.6900001</v>
      </c>
      <c r="R28" s="261">
        <f t="shared" si="13"/>
        <v>1982247988.3099999</v>
      </c>
      <c r="T28" s="183" t="s">
        <v>46</v>
      </c>
      <c r="U28" s="259" t="s">
        <v>45</v>
      </c>
      <c r="V28" s="261">
        <v>4422518992</v>
      </c>
      <c r="W28" s="261">
        <v>0</v>
      </c>
      <c r="X28" s="261">
        <v>0</v>
      </c>
      <c r="Y28" s="261">
        <v>0</v>
      </c>
      <c r="Z28" s="261">
        <v>4422518992</v>
      </c>
      <c r="AA28" s="261">
        <v>426860435</v>
      </c>
      <c r="AB28" s="261">
        <v>1982247988.3099999</v>
      </c>
      <c r="AC28" s="261">
        <v>2440271003.6900001</v>
      </c>
      <c r="AD28" s="261">
        <v>426860435</v>
      </c>
      <c r="AE28" s="261">
        <v>1982247988.3099999</v>
      </c>
      <c r="AF28" s="261">
        <v>0</v>
      </c>
      <c r="AG28" s="261">
        <v>426860435</v>
      </c>
      <c r="AH28" s="261">
        <v>1982247988.3099999</v>
      </c>
      <c r="AI28" s="261">
        <v>0</v>
      </c>
      <c r="AJ28" s="261">
        <v>2440271003.6900001</v>
      </c>
      <c r="AK28" s="261">
        <v>0</v>
      </c>
      <c r="AL28" s="261">
        <v>0</v>
      </c>
      <c r="AM28" s="261">
        <v>1555387553.3099999</v>
      </c>
      <c r="AN28" s="261">
        <v>1555387553.3099999</v>
      </c>
      <c r="AO28" s="261">
        <v>0</v>
      </c>
      <c r="AP28" s="261">
        <v>2867131438.6900001</v>
      </c>
      <c r="AQ28" s="261">
        <f t="shared" si="15"/>
        <v>2988023045</v>
      </c>
      <c r="AS28" s="261">
        <f t="shared" ref="AS28" si="22">+Q28-AQ28</f>
        <v>-547752041.30999994</v>
      </c>
    </row>
    <row r="29" spans="1:45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 t="shared" ref="D29:R29" si="23">+D30</f>
        <v>0</v>
      </c>
      <c r="E29" s="9">
        <f t="shared" si="23"/>
        <v>0</v>
      </c>
      <c r="F29" s="9">
        <f t="shared" si="23"/>
        <v>0</v>
      </c>
      <c r="G29" s="9">
        <f t="shared" si="23"/>
        <v>5493342166</v>
      </c>
      <c r="H29" s="9">
        <f t="shared" si="23"/>
        <v>57829512</v>
      </c>
      <c r="I29" s="9">
        <f t="shared" si="23"/>
        <v>5328816896</v>
      </c>
      <c r="J29" s="9">
        <f t="shared" si="2"/>
        <v>164525270</v>
      </c>
      <c r="K29" s="9">
        <f t="shared" si="23"/>
        <v>57829512</v>
      </c>
      <c r="L29" s="9">
        <f t="shared" si="23"/>
        <v>5328816896</v>
      </c>
      <c r="M29" s="9">
        <f t="shared" si="23"/>
        <v>0</v>
      </c>
      <c r="N29" s="9">
        <f t="shared" si="23"/>
        <v>57829512</v>
      </c>
      <c r="O29" s="9">
        <f t="shared" si="23"/>
        <v>5341325165</v>
      </c>
      <c r="P29" s="9">
        <f t="shared" si="23"/>
        <v>12508269</v>
      </c>
      <c r="Q29" s="9">
        <f t="shared" si="3"/>
        <v>152017001</v>
      </c>
      <c r="R29" s="9">
        <f t="shared" si="23"/>
        <v>5328816896</v>
      </c>
      <c r="T29" s="183" t="s">
        <v>47</v>
      </c>
      <c r="U29" s="259" t="s">
        <v>48</v>
      </c>
      <c r="V29" s="261">
        <v>5493342166</v>
      </c>
      <c r="W29" s="261">
        <v>0</v>
      </c>
      <c r="X29" s="261">
        <v>0</v>
      </c>
      <c r="Y29" s="261">
        <v>0</v>
      </c>
      <c r="Z29" s="261">
        <v>5493342166</v>
      </c>
      <c r="AA29" s="261">
        <v>57829512</v>
      </c>
      <c r="AB29" s="261">
        <v>5328816896</v>
      </c>
      <c r="AC29" s="261">
        <v>164525270</v>
      </c>
      <c r="AD29" s="261">
        <v>57829512</v>
      </c>
      <c r="AE29" s="261">
        <v>5328816896</v>
      </c>
      <c r="AF29" s="261">
        <v>0</v>
      </c>
      <c r="AG29" s="261">
        <v>57829512</v>
      </c>
      <c r="AH29" s="261">
        <v>5341325165</v>
      </c>
      <c r="AI29" s="261">
        <v>12508269</v>
      </c>
      <c r="AJ29" s="261">
        <v>152017001</v>
      </c>
      <c r="AK29" s="261">
        <v>0</v>
      </c>
      <c r="AL29" s="261">
        <v>180805</v>
      </c>
      <c r="AM29" s="261">
        <v>5283676458</v>
      </c>
      <c r="AN29" s="261">
        <v>5283676458</v>
      </c>
      <c r="AO29" s="261">
        <v>12689074</v>
      </c>
      <c r="AP29" s="261">
        <v>209665708</v>
      </c>
      <c r="AQ29" s="9">
        <f t="shared" si="15"/>
        <v>404806584</v>
      </c>
      <c r="AS29" s="9"/>
    </row>
    <row r="30" spans="1:45" x14ac:dyDescent="0.25">
      <c r="A30" s="2" t="s">
        <v>49</v>
      </c>
      <c r="B30" s="259" t="s">
        <v>48</v>
      </c>
      <c r="C30" s="261">
        <v>5493342166</v>
      </c>
      <c r="D30" s="261">
        <v>0</v>
      </c>
      <c r="E30" s="261">
        <v>0</v>
      </c>
      <c r="F30" s="261">
        <v>0</v>
      </c>
      <c r="G30" s="261">
        <f>+C30+D30-E30+F30</f>
        <v>5493342166</v>
      </c>
      <c r="H30" s="261">
        <v>57829512</v>
      </c>
      <c r="I30" s="261">
        <v>5328816896</v>
      </c>
      <c r="J30" s="261">
        <f t="shared" si="2"/>
        <v>164525270</v>
      </c>
      <c r="K30" s="261">
        <v>57829512</v>
      </c>
      <c r="L30" s="261">
        <v>5328816896</v>
      </c>
      <c r="M30" s="261">
        <f t="shared" si="11"/>
        <v>0</v>
      </c>
      <c r="N30" s="261">
        <v>57829512</v>
      </c>
      <c r="O30" s="261">
        <v>5341325165</v>
      </c>
      <c r="P30" s="261">
        <f t="shared" si="12"/>
        <v>12508269</v>
      </c>
      <c r="Q30" s="177">
        <f t="shared" si="3"/>
        <v>152017001</v>
      </c>
      <c r="R30" s="261">
        <f t="shared" si="13"/>
        <v>5328816896</v>
      </c>
      <c r="T30" s="183" t="s">
        <v>49</v>
      </c>
      <c r="U30" s="259" t="s">
        <v>48</v>
      </c>
      <c r="V30" s="261">
        <v>5493342166</v>
      </c>
      <c r="W30" s="261">
        <v>0</v>
      </c>
      <c r="X30" s="261">
        <v>0</v>
      </c>
      <c r="Y30" s="261">
        <v>0</v>
      </c>
      <c r="Z30" s="261">
        <v>5493342166</v>
      </c>
      <c r="AA30" s="261">
        <v>57829512</v>
      </c>
      <c r="AB30" s="261">
        <v>5328816896</v>
      </c>
      <c r="AC30" s="261">
        <v>164525270</v>
      </c>
      <c r="AD30" s="261">
        <v>57829512</v>
      </c>
      <c r="AE30" s="261">
        <v>5328816896</v>
      </c>
      <c r="AF30" s="261">
        <v>0</v>
      </c>
      <c r="AG30" s="261">
        <v>57829512</v>
      </c>
      <c r="AH30" s="261">
        <v>5341325165</v>
      </c>
      <c r="AI30" s="261">
        <v>12508269</v>
      </c>
      <c r="AJ30" s="261">
        <v>152017001</v>
      </c>
      <c r="AK30" s="261">
        <v>0</v>
      </c>
      <c r="AL30" s="261">
        <v>180805</v>
      </c>
      <c r="AM30" s="261">
        <v>5283676458</v>
      </c>
      <c r="AN30" s="261">
        <v>5283676458</v>
      </c>
      <c r="AO30" s="261">
        <v>12689074</v>
      </c>
      <c r="AP30" s="261">
        <v>209665708</v>
      </c>
      <c r="AQ30" s="261">
        <f t="shared" si="15"/>
        <v>404806584</v>
      </c>
      <c r="AS30" s="261">
        <f t="shared" ref="AS30" si="24">+Q30-AQ30</f>
        <v>-252789583</v>
      </c>
    </row>
    <row r="31" spans="1:45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 t="shared" ref="D31:R31" si="25">+D32</f>
        <v>0</v>
      </c>
      <c r="E31" s="9">
        <f t="shared" si="25"/>
        <v>0</v>
      </c>
      <c r="F31" s="9">
        <f t="shared" si="25"/>
        <v>0</v>
      </c>
      <c r="G31" s="9">
        <f t="shared" si="25"/>
        <v>2057327168</v>
      </c>
      <c r="H31" s="9">
        <f t="shared" si="25"/>
        <v>190215120</v>
      </c>
      <c r="I31" s="9">
        <f t="shared" si="25"/>
        <v>902278036.49000001</v>
      </c>
      <c r="J31" s="9">
        <f t="shared" si="2"/>
        <v>1155049131.51</v>
      </c>
      <c r="K31" s="9">
        <f t="shared" si="25"/>
        <v>190215120</v>
      </c>
      <c r="L31" s="9">
        <f t="shared" si="25"/>
        <v>902278036.49000001</v>
      </c>
      <c r="M31" s="9">
        <f t="shared" si="25"/>
        <v>0</v>
      </c>
      <c r="N31" s="9">
        <f t="shared" si="25"/>
        <v>190215120</v>
      </c>
      <c r="O31" s="9">
        <f t="shared" si="25"/>
        <v>902278036.49000001</v>
      </c>
      <c r="P31" s="9">
        <f t="shared" si="25"/>
        <v>0</v>
      </c>
      <c r="Q31" s="9">
        <f t="shared" si="3"/>
        <v>1155049131.51</v>
      </c>
      <c r="R31" s="9">
        <f t="shared" si="25"/>
        <v>902278036.49000001</v>
      </c>
      <c r="T31" s="183" t="s">
        <v>50</v>
      </c>
      <c r="U31" s="259" t="s">
        <v>51</v>
      </c>
      <c r="V31" s="261">
        <v>2057327168</v>
      </c>
      <c r="W31" s="261">
        <v>0</v>
      </c>
      <c r="X31" s="261">
        <v>0</v>
      </c>
      <c r="Y31" s="261">
        <v>0</v>
      </c>
      <c r="Z31" s="261">
        <v>2057327168</v>
      </c>
      <c r="AA31" s="261">
        <v>190215120</v>
      </c>
      <c r="AB31" s="261">
        <v>902278036.49000001</v>
      </c>
      <c r="AC31" s="261">
        <v>1155049131.51</v>
      </c>
      <c r="AD31" s="261">
        <v>190215120</v>
      </c>
      <c r="AE31" s="261">
        <v>902278036.49000001</v>
      </c>
      <c r="AF31" s="261">
        <v>0</v>
      </c>
      <c r="AG31" s="261">
        <v>190215120</v>
      </c>
      <c r="AH31" s="261">
        <v>902278036.49000001</v>
      </c>
      <c r="AI31" s="261">
        <v>0</v>
      </c>
      <c r="AJ31" s="261">
        <v>1155049131.51</v>
      </c>
      <c r="AK31" s="261">
        <v>0</v>
      </c>
      <c r="AL31" s="261">
        <v>0</v>
      </c>
      <c r="AM31" s="261">
        <v>712062916.49000001</v>
      </c>
      <c r="AN31" s="261">
        <v>712062916.49000001</v>
      </c>
      <c r="AO31" s="261">
        <v>0</v>
      </c>
      <c r="AP31" s="261">
        <v>1345264251.51</v>
      </c>
      <c r="AQ31" s="9">
        <f t="shared" si="15"/>
        <v>1331505840</v>
      </c>
      <c r="AS31" s="9"/>
    </row>
    <row r="32" spans="1:45" x14ac:dyDescent="0.25">
      <c r="A32" s="2" t="s">
        <v>52</v>
      </c>
      <c r="B32" s="259" t="s">
        <v>51</v>
      </c>
      <c r="C32" s="261">
        <v>2057327168</v>
      </c>
      <c r="D32" s="261">
        <v>0</v>
      </c>
      <c r="E32" s="261">
        <v>0</v>
      </c>
      <c r="F32" s="261">
        <v>0</v>
      </c>
      <c r="G32" s="261">
        <f>+C32+D32-E32+F32</f>
        <v>2057327168</v>
      </c>
      <c r="H32" s="261">
        <v>190215120</v>
      </c>
      <c r="I32" s="261">
        <v>902278036.49000001</v>
      </c>
      <c r="J32" s="261">
        <f t="shared" si="2"/>
        <v>1155049131.51</v>
      </c>
      <c r="K32" s="261">
        <v>190215120</v>
      </c>
      <c r="L32" s="261">
        <v>902278036.49000001</v>
      </c>
      <c r="M32" s="261">
        <f t="shared" si="11"/>
        <v>0</v>
      </c>
      <c r="N32" s="261">
        <v>190215120</v>
      </c>
      <c r="O32" s="261">
        <v>902278036.49000001</v>
      </c>
      <c r="P32" s="261">
        <f t="shared" si="12"/>
        <v>0</v>
      </c>
      <c r="Q32" s="177">
        <f t="shared" si="3"/>
        <v>1155049131.51</v>
      </c>
      <c r="R32" s="261">
        <f t="shared" si="13"/>
        <v>902278036.49000001</v>
      </c>
      <c r="T32" s="183" t="s">
        <v>52</v>
      </c>
      <c r="U32" s="259" t="s">
        <v>51</v>
      </c>
      <c r="V32" s="261">
        <v>2057327168</v>
      </c>
      <c r="W32" s="261">
        <v>0</v>
      </c>
      <c r="X32" s="261">
        <v>0</v>
      </c>
      <c r="Y32" s="261">
        <v>0</v>
      </c>
      <c r="Z32" s="261">
        <v>2057327168</v>
      </c>
      <c r="AA32" s="261">
        <v>190215120</v>
      </c>
      <c r="AB32" s="261">
        <v>902278036.49000001</v>
      </c>
      <c r="AC32" s="261">
        <v>1155049131.51</v>
      </c>
      <c r="AD32" s="261">
        <v>190215120</v>
      </c>
      <c r="AE32" s="261">
        <v>902278036.49000001</v>
      </c>
      <c r="AF32" s="261">
        <v>0</v>
      </c>
      <c r="AG32" s="261">
        <v>190215120</v>
      </c>
      <c r="AH32" s="261">
        <v>902278036.49000001</v>
      </c>
      <c r="AI32" s="261">
        <v>0</v>
      </c>
      <c r="AJ32" s="261">
        <v>1155049131.51</v>
      </c>
      <c r="AK32" s="261">
        <v>0</v>
      </c>
      <c r="AL32" s="261">
        <v>0</v>
      </c>
      <c r="AM32" s="261">
        <v>712062916.49000001</v>
      </c>
      <c r="AN32" s="261">
        <v>712062916.49000001</v>
      </c>
      <c r="AO32" s="261">
        <v>0</v>
      </c>
      <c r="AP32" s="261">
        <v>1345264251.51</v>
      </c>
      <c r="AQ32" s="261">
        <f t="shared" si="15"/>
        <v>1331505840</v>
      </c>
      <c r="AS32" s="261">
        <f t="shared" ref="AS32" si="26">+Q32-AQ32</f>
        <v>-176456708.49000001</v>
      </c>
    </row>
    <row r="33" spans="1:45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 t="shared" ref="D33:R33" si="27">+D34</f>
        <v>0</v>
      </c>
      <c r="E33" s="9">
        <f t="shared" si="27"/>
        <v>0</v>
      </c>
      <c r="F33" s="9">
        <f t="shared" si="27"/>
        <v>0</v>
      </c>
      <c r="G33" s="9">
        <f t="shared" si="27"/>
        <v>459524776</v>
      </c>
      <c r="H33" s="9">
        <f t="shared" si="27"/>
        <v>32952000</v>
      </c>
      <c r="I33" s="9">
        <f t="shared" si="27"/>
        <v>153250900</v>
      </c>
      <c r="J33" s="9">
        <f t="shared" si="2"/>
        <v>306273876</v>
      </c>
      <c r="K33" s="9">
        <f t="shared" si="27"/>
        <v>32952000</v>
      </c>
      <c r="L33" s="9">
        <f t="shared" si="27"/>
        <v>153250900</v>
      </c>
      <c r="M33" s="9">
        <f t="shared" si="27"/>
        <v>0</v>
      </c>
      <c r="N33" s="9">
        <f t="shared" si="27"/>
        <v>32952000</v>
      </c>
      <c r="O33" s="9">
        <f t="shared" si="27"/>
        <v>153250900</v>
      </c>
      <c r="P33" s="9">
        <f t="shared" si="27"/>
        <v>0</v>
      </c>
      <c r="Q33" s="9">
        <f t="shared" si="3"/>
        <v>306273876</v>
      </c>
      <c r="R33" s="9">
        <f t="shared" si="27"/>
        <v>153250900</v>
      </c>
      <c r="T33" s="183" t="s">
        <v>53</v>
      </c>
      <c r="U33" s="259" t="s">
        <v>54</v>
      </c>
      <c r="V33" s="261">
        <v>459524776</v>
      </c>
      <c r="W33" s="261">
        <v>0</v>
      </c>
      <c r="X33" s="261">
        <v>0</v>
      </c>
      <c r="Y33" s="261">
        <v>0</v>
      </c>
      <c r="Z33" s="261">
        <v>459524776</v>
      </c>
      <c r="AA33" s="261">
        <v>32952000</v>
      </c>
      <c r="AB33" s="261">
        <v>153250900</v>
      </c>
      <c r="AC33" s="261">
        <v>306273876</v>
      </c>
      <c r="AD33" s="261">
        <v>32952000</v>
      </c>
      <c r="AE33" s="261">
        <v>153250900</v>
      </c>
      <c r="AF33" s="261">
        <v>0</v>
      </c>
      <c r="AG33" s="261">
        <v>32952000</v>
      </c>
      <c r="AH33" s="261">
        <v>153250900</v>
      </c>
      <c r="AI33" s="261">
        <v>0</v>
      </c>
      <c r="AJ33" s="261">
        <v>306273876</v>
      </c>
      <c r="AK33" s="261">
        <v>0</v>
      </c>
      <c r="AL33" s="261">
        <v>0</v>
      </c>
      <c r="AM33" s="261">
        <v>120298900</v>
      </c>
      <c r="AN33" s="261">
        <v>120298900</v>
      </c>
      <c r="AO33" s="261">
        <v>0</v>
      </c>
      <c r="AP33" s="261">
        <v>339225876</v>
      </c>
      <c r="AQ33" s="9">
        <f t="shared" si="15"/>
        <v>230664000</v>
      </c>
      <c r="AS33" s="9"/>
    </row>
    <row r="34" spans="1:45" x14ac:dyDescent="0.25">
      <c r="A34" s="2" t="s">
        <v>55</v>
      </c>
      <c r="B34" s="259" t="s">
        <v>54</v>
      </c>
      <c r="C34" s="261">
        <v>459524776</v>
      </c>
      <c r="D34" s="261">
        <v>0</v>
      </c>
      <c r="E34" s="261">
        <v>0</v>
      </c>
      <c r="F34" s="261">
        <v>0</v>
      </c>
      <c r="G34" s="261">
        <f>+C34+D34-E34+F34</f>
        <v>459524776</v>
      </c>
      <c r="H34" s="261">
        <v>32952000</v>
      </c>
      <c r="I34" s="261">
        <v>153250900</v>
      </c>
      <c r="J34" s="261">
        <f t="shared" si="2"/>
        <v>306273876</v>
      </c>
      <c r="K34" s="261">
        <v>32952000</v>
      </c>
      <c r="L34" s="261">
        <v>153250900</v>
      </c>
      <c r="M34" s="261">
        <f t="shared" si="11"/>
        <v>0</v>
      </c>
      <c r="N34" s="261">
        <v>32952000</v>
      </c>
      <c r="O34" s="261">
        <v>153250900</v>
      </c>
      <c r="P34" s="261">
        <f t="shared" si="12"/>
        <v>0</v>
      </c>
      <c r="Q34" s="177">
        <f t="shared" si="3"/>
        <v>306273876</v>
      </c>
      <c r="R34" s="261">
        <f t="shared" si="13"/>
        <v>153250900</v>
      </c>
      <c r="T34" s="183" t="s">
        <v>55</v>
      </c>
      <c r="U34" s="259" t="s">
        <v>54</v>
      </c>
      <c r="V34" s="261">
        <v>459524776</v>
      </c>
      <c r="W34" s="261">
        <v>0</v>
      </c>
      <c r="X34" s="261">
        <v>0</v>
      </c>
      <c r="Y34" s="261">
        <v>0</v>
      </c>
      <c r="Z34" s="261">
        <v>459524776</v>
      </c>
      <c r="AA34" s="261">
        <v>32952000</v>
      </c>
      <c r="AB34" s="261">
        <v>153250900</v>
      </c>
      <c r="AC34" s="261">
        <v>306273876</v>
      </c>
      <c r="AD34" s="261">
        <v>32952000</v>
      </c>
      <c r="AE34" s="261">
        <v>153250900</v>
      </c>
      <c r="AF34" s="261">
        <v>0</v>
      </c>
      <c r="AG34" s="261">
        <v>32952000</v>
      </c>
      <c r="AH34" s="261">
        <v>153250900</v>
      </c>
      <c r="AI34" s="261">
        <v>0</v>
      </c>
      <c r="AJ34" s="261">
        <v>306273876</v>
      </c>
      <c r="AK34" s="261">
        <v>0</v>
      </c>
      <c r="AL34" s="261">
        <v>0</v>
      </c>
      <c r="AM34" s="261">
        <v>120298900</v>
      </c>
      <c r="AN34" s="261">
        <v>120298900</v>
      </c>
      <c r="AO34" s="261">
        <v>0</v>
      </c>
      <c r="AP34" s="261">
        <v>339225876</v>
      </c>
      <c r="AQ34" s="261">
        <f t="shared" si="15"/>
        <v>230664000</v>
      </c>
      <c r="AS34" s="261">
        <f t="shared" ref="AS34" si="28">+Q34-AQ34</f>
        <v>75609876</v>
      </c>
    </row>
    <row r="35" spans="1:45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 t="shared" ref="D35:R35" si="29">+D36</f>
        <v>0</v>
      </c>
      <c r="E35" s="9">
        <f t="shared" si="29"/>
        <v>0</v>
      </c>
      <c r="F35" s="9">
        <f t="shared" si="29"/>
        <v>0</v>
      </c>
      <c r="G35" s="9">
        <f t="shared" si="29"/>
        <v>1527281134</v>
      </c>
      <c r="H35" s="9">
        <f t="shared" si="29"/>
        <v>143495616</v>
      </c>
      <c r="I35" s="9">
        <f t="shared" si="29"/>
        <v>680665885.50999999</v>
      </c>
      <c r="J35" s="9">
        <f t="shared" si="2"/>
        <v>846615248.49000001</v>
      </c>
      <c r="K35" s="9">
        <f t="shared" si="29"/>
        <v>143495616</v>
      </c>
      <c r="L35" s="9">
        <f t="shared" si="29"/>
        <v>680665885.50999999</v>
      </c>
      <c r="M35" s="9">
        <f t="shared" si="29"/>
        <v>0</v>
      </c>
      <c r="N35" s="9">
        <f t="shared" si="29"/>
        <v>143495616</v>
      </c>
      <c r="O35" s="9">
        <f t="shared" si="29"/>
        <v>680665885.50999999</v>
      </c>
      <c r="P35" s="9">
        <f t="shared" si="29"/>
        <v>0</v>
      </c>
      <c r="Q35" s="9">
        <f t="shared" si="3"/>
        <v>846615248.49000001</v>
      </c>
      <c r="R35" s="9">
        <f t="shared" si="29"/>
        <v>680665885.50999999</v>
      </c>
      <c r="T35" s="183" t="s">
        <v>56</v>
      </c>
      <c r="U35" s="259" t="s">
        <v>57</v>
      </c>
      <c r="V35" s="261">
        <v>1527281134</v>
      </c>
      <c r="W35" s="261">
        <v>0</v>
      </c>
      <c r="X35" s="261">
        <v>0</v>
      </c>
      <c r="Y35" s="261">
        <v>0</v>
      </c>
      <c r="Z35" s="261">
        <v>1527281134</v>
      </c>
      <c r="AA35" s="261">
        <v>143495616</v>
      </c>
      <c r="AB35" s="261">
        <v>680665885.50999999</v>
      </c>
      <c r="AC35" s="261">
        <v>846615248.49000001</v>
      </c>
      <c r="AD35" s="261">
        <v>143495616</v>
      </c>
      <c r="AE35" s="261">
        <v>680665885.50999999</v>
      </c>
      <c r="AF35" s="261">
        <v>0</v>
      </c>
      <c r="AG35" s="261">
        <v>143495616</v>
      </c>
      <c r="AH35" s="261">
        <v>680665885.50999999</v>
      </c>
      <c r="AI35" s="261">
        <v>0</v>
      </c>
      <c r="AJ35" s="261">
        <v>846615248.49000001</v>
      </c>
      <c r="AK35" s="261">
        <v>0</v>
      </c>
      <c r="AL35" s="261">
        <v>0</v>
      </c>
      <c r="AM35" s="261">
        <v>537170269.50999999</v>
      </c>
      <c r="AN35" s="261">
        <v>537170269.50999999</v>
      </c>
      <c r="AO35" s="261">
        <v>0</v>
      </c>
      <c r="AP35" s="261">
        <v>990110864.49000001</v>
      </c>
      <c r="AQ35" s="9">
        <f t="shared" si="15"/>
        <v>1004469312</v>
      </c>
      <c r="AS35" s="9"/>
    </row>
    <row r="36" spans="1:45" x14ac:dyDescent="0.25">
      <c r="A36" s="2" t="s">
        <v>58</v>
      </c>
      <c r="B36" s="259" t="s">
        <v>57</v>
      </c>
      <c r="C36" s="261">
        <v>1527281134</v>
      </c>
      <c r="D36" s="261">
        <v>0</v>
      </c>
      <c r="E36" s="261">
        <v>0</v>
      </c>
      <c r="F36" s="261">
        <v>0</v>
      </c>
      <c r="G36" s="261">
        <f>+C36+D36-E36+F36</f>
        <v>1527281134</v>
      </c>
      <c r="H36" s="261">
        <v>143495616</v>
      </c>
      <c r="I36" s="261">
        <v>680665885.50999999</v>
      </c>
      <c r="J36" s="261">
        <f t="shared" si="2"/>
        <v>846615248.49000001</v>
      </c>
      <c r="K36" s="261">
        <v>143495616</v>
      </c>
      <c r="L36" s="261">
        <v>680665885.50999999</v>
      </c>
      <c r="M36" s="261">
        <f t="shared" si="11"/>
        <v>0</v>
      </c>
      <c r="N36" s="261">
        <v>143495616</v>
      </c>
      <c r="O36" s="261">
        <v>680665885.50999999</v>
      </c>
      <c r="P36" s="261">
        <f t="shared" si="12"/>
        <v>0</v>
      </c>
      <c r="Q36" s="177">
        <f t="shared" si="3"/>
        <v>846615248.49000001</v>
      </c>
      <c r="R36" s="261">
        <f t="shared" si="13"/>
        <v>680665885.50999999</v>
      </c>
      <c r="T36" s="183" t="s">
        <v>58</v>
      </c>
      <c r="U36" s="259" t="s">
        <v>57</v>
      </c>
      <c r="V36" s="261">
        <v>1527281134</v>
      </c>
      <c r="W36" s="261">
        <v>0</v>
      </c>
      <c r="X36" s="261">
        <v>0</v>
      </c>
      <c r="Y36" s="261">
        <v>0</v>
      </c>
      <c r="Z36" s="261">
        <v>1527281134</v>
      </c>
      <c r="AA36" s="261">
        <v>143495616</v>
      </c>
      <c r="AB36" s="261">
        <v>680665885.50999999</v>
      </c>
      <c r="AC36" s="261">
        <v>846615248.49000001</v>
      </c>
      <c r="AD36" s="261">
        <v>143495616</v>
      </c>
      <c r="AE36" s="261">
        <v>680665885.50999999</v>
      </c>
      <c r="AF36" s="261">
        <v>0</v>
      </c>
      <c r="AG36" s="261">
        <v>143495616</v>
      </c>
      <c r="AH36" s="261">
        <v>680665885.50999999</v>
      </c>
      <c r="AI36" s="261">
        <v>0</v>
      </c>
      <c r="AJ36" s="261">
        <v>846615248.49000001</v>
      </c>
      <c r="AK36" s="261">
        <v>0</v>
      </c>
      <c r="AL36" s="261">
        <v>0</v>
      </c>
      <c r="AM36" s="261">
        <v>537170269.50999999</v>
      </c>
      <c r="AN36" s="261">
        <v>537170269.50999999</v>
      </c>
      <c r="AO36" s="261">
        <v>0</v>
      </c>
      <c r="AP36" s="261">
        <v>990110864.49000001</v>
      </c>
      <c r="AQ36" s="261">
        <f t="shared" si="15"/>
        <v>1004469312</v>
      </c>
      <c r="AS36" s="261">
        <f t="shared" ref="AS36" si="30">+Q36-AQ36</f>
        <v>-157854063.50999999</v>
      </c>
    </row>
    <row r="37" spans="1:45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 t="shared" ref="D37:R37" si="31">+D38</f>
        <v>0</v>
      </c>
      <c r="E37" s="6">
        <f t="shared" si="31"/>
        <v>0</v>
      </c>
      <c r="F37" s="6">
        <f t="shared" si="31"/>
        <v>0</v>
      </c>
      <c r="G37" s="6">
        <f t="shared" si="31"/>
        <v>2425209150</v>
      </c>
      <c r="H37" s="6">
        <f t="shared" si="31"/>
        <v>101562270</v>
      </c>
      <c r="I37" s="6">
        <f t="shared" si="31"/>
        <v>698703300</v>
      </c>
      <c r="J37" s="6">
        <f t="shared" si="2"/>
        <v>1726505850</v>
      </c>
      <c r="K37" s="6">
        <f t="shared" si="31"/>
        <v>95690334</v>
      </c>
      <c r="L37" s="6">
        <f t="shared" si="31"/>
        <v>692831364</v>
      </c>
      <c r="M37" s="6">
        <f t="shared" si="31"/>
        <v>5871936</v>
      </c>
      <c r="N37" s="6">
        <f t="shared" si="31"/>
        <v>101412270</v>
      </c>
      <c r="O37" s="6">
        <f t="shared" si="31"/>
        <v>699903300</v>
      </c>
      <c r="P37" s="6">
        <f t="shared" si="31"/>
        <v>1200000</v>
      </c>
      <c r="Q37" s="6">
        <f t="shared" si="3"/>
        <v>1725305850</v>
      </c>
      <c r="R37" s="6">
        <f t="shared" si="31"/>
        <v>692831364</v>
      </c>
      <c r="T37" s="183" t="s">
        <v>59</v>
      </c>
      <c r="U37" s="259" t="s">
        <v>60</v>
      </c>
      <c r="V37" s="261">
        <v>2425209150</v>
      </c>
      <c r="W37" s="261">
        <v>0</v>
      </c>
      <c r="X37" s="261">
        <v>0</v>
      </c>
      <c r="Y37" s="261">
        <v>0</v>
      </c>
      <c r="Z37" s="261">
        <v>2425209150</v>
      </c>
      <c r="AA37" s="261">
        <v>101562270</v>
      </c>
      <c r="AB37" s="261">
        <v>698703300</v>
      </c>
      <c r="AC37" s="261">
        <v>1726505850</v>
      </c>
      <c r="AD37" s="261">
        <v>95690334</v>
      </c>
      <c r="AE37" s="261">
        <v>692831364</v>
      </c>
      <c r="AF37" s="261">
        <v>5871936</v>
      </c>
      <c r="AG37" s="261">
        <v>101412270</v>
      </c>
      <c r="AH37" s="261">
        <v>699903300</v>
      </c>
      <c r="AI37" s="261">
        <v>1200000</v>
      </c>
      <c r="AJ37" s="261">
        <v>1725305850</v>
      </c>
      <c r="AK37" s="261">
        <v>0</v>
      </c>
      <c r="AL37" s="261">
        <v>46206713</v>
      </c>
      <c r="AM37" s="261">
        <v>644697743</v>
      </c>
      <c r="AN37" s="261">
        <v>644697743</v>
      </c>
      <c r="AO37" s="261">
        <v>1200000</v>
      </c>
      <c r="AP37" s="261">
        <v>1780511407</v>
      </c>
      <c r="AQ37" s="6">
        <f t="shared" si="15"/>
        <v>709885890</v>
      </c>
      <c r="AS37" s="6"/>
    </row>
    <row r="38" spans="1:45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 t="shared" ref="D38:R38" si="32">SUM(D39:D45)</f>
        <v>0</v>
      </c>
      <c r="E38" s="9">
        <f t="shared" si="32"/>
        <v>0</v>
      </c>
      <c r="F38" s="9">
        <f t="shared" si="32"/>
        <v>0</v>
      </c>
      <c r="G38" s="9">
        <f t="shared" si="32"/>
        <v>2425209150</v>
      </c>
      <c r="H38" s="9">
        <f t="shared" si="32"/>
        <v>101562270</v>
      </c>
      <c r="I38" s="9">
        <f t="shared" si="32"/>
        <v>698703300</v>
      </c>
      <c r="J38" s="9">
        <f t="shared" si="2"/>
        <v>1726505850</v>
      </c>
      <c r="K38" s="9">
        <f t="shared" si="32"/>
        <v>95690334</v>
      </c>
      <c r="L38" s="9">
        <f t="shared" si="32"/>
        <v>692831364</v>
      </c>
      <c r="M38" s="9">
        <f t="shared" si="32"/>
        <v>5871936</v>
      </c>
      <c r="N38" s="9">
        <f t="shared" si="32"/>
        <v>101412270</v>
      </c>
      <c r="O38" s="9">
        <f t="shared" si="32"/>
        <v>699903300</v>
      </c>
      <c r="P38" s="9">
        <f t="shared" si="32"/>
        <v>1200000</v>
      </c>
      <c r="Q38" s="9">
        <f t="shared" si="3"/>
        <v>1725305850</v>
      </c>
      <c r="R38" s="9">
        <f t="shared" si="32"/>
        <v>692831364</v>
      </c>
      <c r="T38" s="183" t="s">
        <v>61</v>
      </c>
      <c r="U38" s="259" t="s">
        <v>62</v>
      </c>
      <c r="V38" s="261">
        <v>2425209150</v>
      </c>
      <c r="W38" s="261">
        <v>0</v>
      </c>
      <c r="X38" s="261">
        <v>0</v>
      </c>
      <c r="Y38" s="261">
        <v>0</v>
      </c>
      <c r="Z38" s="261">
        <v>2425209150</v>
      </c>
      <c r="AA38" s="261">
        <v>101562270</v>
      </c>
      <c r="AB38" s="261">
        <v>698703300</v>
      </c>
      <c r="AC38" s="261">
        <v>1726505850</v>
      </c>
      <c r="AD38" s="261">
        <v>95690334</v>
      </c>
      <c r="AE38" s="261">
        <v>692831364</v>
      </c>
      <c r="AF38" s="261">
        <v>5871936</v>
      </c>
      <c r="AG38" s="261">
        <v>101412270</v>
      </c>
      <c r="AH38" s="261">
        <v>699903300</v>
      </c>
      <c r="AI38" s="261">
        <v>1200000</v>
      </c>
      <c r="AJ38" s="261">
        <v>1725305850</v>
      </c>
      <c r="AK38" s="261">
        <v>0</v>
      </c>
      <c r="AL38" s="261">
        <v>46206713</v>
      </c>
      <c r="AM38" s="261">
        <v>644697743</v>
      </c>
      <c r="AN38" s="261">
        <v>644697743</v>
      </c>
      <c r="AO38" s="261">
        <v>1200000</v>
      </c>
      <c r="AP38" s="261">
        <v>1780511407</v>
      </c>
      <c r="AQ38" s="9">
        <f t="shared" si="15"/>
        <v>709885890</v>
      </c>
      <c r="AS38" s="9"/>
    </row>
    <row r="39" spans="1:45" x14ac:dyDescent="0.25">
      <c r="A39" s="2" t="s">
        <v>63</v>
      </c>
      <c r="B39" s="259" t="s">
        <v>64</v>
      </c>
      <c r="C39" s="261">
        <v>8643249</v>
      </c>
      <c r="D39" s="261">
        <v>0</v>
      </c>
      <c r="E39" s="261">
        <v>0</v>
      </c>
      <c r="F39" s="261">
        <v>0</v>
      </c>
      <c r="G39" s="261">
        <f t="shared" ref="G39:G45" si="33">+C39+D39-E39+F39</f>
        <v>8643249</v>
      </c>
      <c r="H39" s="261">
        <v>0</v>
      </c>
      <c r="I39" s="261">
        <v>0</v>
      </c>
      <c r="J39" s="261">
        <f t="shared" si="2"/>
        <v>8643249</v>
      </c>
      <c r="K39" s="261">
        <v>0</v>
      </c>
      <c r="L39" s="261">
        <v>0</v>
      </c>
      <c r="M39" s="261">
        <f t="shared" si="11"/>
        <v>0</v>
      </c>
      <c r="N39" s="261">
        <v>0</v>
      </c>
      <c r="O39" s="261">
        <v>0</v>
      </c>
      <c r="P39" s="261">
        <f t="shared" si="12"/>
        <v>0</v>
      </c>
      <c r="Q39" s="177">
        <f t="shared" si="3"/>
        <v>8643249</v>
      </c>
      <c r="R39" s="261">
        <f t="shared" si="13"/>
        <v>0</v>
      </c>
      <c r="T39" s="183" t="s">
        <v>63</v>
      </c>
      <c r="U39" s="259" t="s">
        <v>64</v>
      </c>
      <c r="V39" s="261">
        <v>8643249</v>
      </c>
      <c r="W39" s="261">
        <v>0</v>
      </c>
      <c r="X39" s="261">
        <v>0</v>
      </c>
      <c r="Y39" s="261">
        <v>0</v>
      </c>
      <c r="Z39" s="261">
        <v>8643249</v>
      </c>
      <c r="AA39" s="261">
        <v>0</v>
      </c>
      <c r="AB39" s="261">
        <v>0</v>
      </c>
      <c r="AC39" s="261">
        <v>8643249</v>
      </c>
      <c r="AD39" s="261">
        <v>0</v>
      </c>
      <c r="AE39" s="261">
        <v>0</v>
      </c>
      <c r="AF39" s="261">
        <v>0</v>
      </c>
      <c r="AG39" s="261">
        <v>0</v>
      </c>
      <c r="AH39" s="261">
        <v>0</v>
      </c>
      <c r="AI39" s="261">
        <v>0</v>
      </c>
      <c r="AJ39" s="261">
        <v>8643249</v>
      </c>
      <c r="AK39" s="261">
        <v>0</v>
      </c>
      <c r="AL39" s="261">
        <v>0</v>
      </c>
      <c r="AM39" s="261">
        <v>0</v>
      </c>
      <c r="AN39" s="261">
        <v>0</v>
      </c>
      <c r="AO39" s="261">
        <v>0</v>
      </c>
      <c r="AP39" s="261">
        <v>8643249</v>
      </c>
      <c r="AQ39" s="261">
        <f t="shared" si="15"/>
        <v>0</v>
      </c>
      <c r="AS39" s="261"/>
    </row>
    <row r="40" spans="1:45" x14ac:dyDescent="0.25">
      <c r="A40" s="2" t="s">
        <v>65</v>
      </c>
      <c r="B40" s="259" t="s">
        <v>66</v>
      </c>
      <c r="C40" s="261">
        <v>26400</v>
      </c>
      <c r="D40" s="261">
        <v>0</v>
      </c>
      <c r="E40" s="261">
        <v>0</v>
      </c>
      <c r="F40" s="261">
        <v>0</v>
      </c>
      <c r="G40" s="261">
        <f t="shared" si="33"/>
        <v>26400</v>
      </c>
      <c r="H40" s="261">
        <v>0</v>
      </c>
      <c r="I40" s="261">
        <v>0</v>
      </c>
      <c r="J40" s="261">
        <f t="shared" si="2"/>
        <v>26400</v>
      </c>
      <c r="K40" s="261">
        <v>0</v>
      </c>
      <c r="L40" s="261">
        <v>0</v>
      </c>
      <c r="M40" s="261">
        <f t="shared" si="11"/>
        <v>0</v>
      </c>
      <c r="N40" s="261">
        <v>0</v>
      </c>
      <c r="O40" s="261">
        <v>0</v>
      </c>
      <c r="P40" s="261">
        <f t="shared" si="12"/>
        <v>0</v>
      </c>
      <c r="Q40" s="177">
        <f t="shared" si="3"/>
        <v>26400</v>
      </c>
      <c r="R40" s="261">
        <f t="shared" si="13"/>
        <v>0</v>
      </c>
      <c r="T40" s="183" t="s">
        <v>65</v>
      </c>
      <c r="U40" s="259" t="s">
        <v>66</v>
      </c>
      <c r="V40" s="261">
        <v>26400</v>
      </c>
      <c r="W40" s="261">
        <v>0</v>
      </c>
      <c r="X40" s="261">
        <v>0</v>
      </c>
      <c r="Y40" s="261">
        <v>0</v>
      </c>
      <c r="Z40" s="261">
        <v>26400</v>
      </c>
      <c r="AA40" s="261">
        <v>0</v>
      </c>
      <c r="AB40" s="261">
        <v>0</v>
      </c>
      <c r="AC40" s="261">
        <v>26400</v>
      </c>
      <c r="AD40" s="261">
        <v>0</v>
      </c>
      <c r="AE40" s="261">
        <v>0</v>
      </c>
      <c r="AF40" s="261">
        <v>0</v>
      </c>
      <c r="AG40" s="261">
        <v>0</v>
      </c>
      <c r="AH40" s="261">
        <v>0</v>
      </c>
      <c r="AI40" s="261">
        <v>0</v>
      </c>
      <c r="AJ40" s="261">
        <v>26400</v>
      </c>
      <c r="AK40" s="261">
        <v>0</v>
      </c>
      <c r="AL40" s="261">
        <v>0</v>
      </c>
      <c r="AM40" s="261">
        <v>0</v>
      </c>
      <c r="AN40" s="261">
        <v>0</v>
      </c>
      <c r="AO40" s="261">
        <v>0</v>
      </c>
      <c r="AP40" s="261">
        <v>26400</v>
      </c>
      <c r="AQ40" s="261">
        <f t="shared" si="15"/>
        <v>0</v>
      </c>
      <c r="AS40" s="261"/>
    </row>
    <row r="41" spans="1:45" x14ac:dyDescent="0.25">
      <c r="A41" s="2" t="s">
        <v>67</v>
      </c>
      <c r="B41" s="259" t="s">
        <v>68</v>
      </c>
      <c r="C41" s="261">
        <v>290863076</v>
      </c>
      <c r="D41" s="261">
        <v>0</v>
      </c>
      <c r="E41" s="261">
        <v>0</v>
      </c>
      <c r="F41" s="261">
        <v>0</v>
      </c>
      <c r="G41" s="261">
        <f t="shared" si="33"/>
        <v>290863076</v>
      </c>
      <c r="H41" s="261">
        <v>20006142</v>
      </c>
      <c r="I41" s="261">
        <v>100030684</v>
      </c>
      <c r="J41" s="261">
        <f t="shared" si="2"/>
        <v>190832392</v>
      </c>
      <c r="K41" s="261">
        <v>20006142</v>
      </c>
      <c r="L41" s="261">
        <v>100030684</v>
      </c>
      <c r="M41" s="261">
        <f t="shared" si="11"/>
        <v>0</v>
      </c>
      <c r="N41" s="261">
        <v>20006142</v>
      </c>
      <c r="O41" s="261">
        <v>100030684</v>
      </c>
      <c r="P41" s="261">
        <f t="shared" si="12"/>
        <v>0</v>
      </c>
      <c r="Q41" s="177">
        <f t="shared" si="3"/>
        <v>190832392</v>
      </c>
      <c r="R41" s="261">
        <f t="shared" si="13"/>
        <v>100030684</v>
      </c>
      <c r="T41" s="183" t="s">
        <v>67</v>
      </c>
      <c r="U41" s="259" t="s">
        <v>68</v>
      </c>
      <c r="V41" s="261">
        <v>290863076</v>
      </c>
      <c r="W41" s="261">
        <v>0</v>
      </c>
      <c r="X41" s="261">
        <v>0</v>
      </c>
      <c r="Y41" s="261">
        <v>0</v>
      </c>
      <c r="Z41" s="261">
        <v>290863076</v>
      </c>
      <c r="AA41" s="261">
        <v>20006142</v>
      </c>
      <c r="AB41" s="261">
        <v>100030684</v>
      </c>
      <c r="AC41" s="261">
        <v>190832392</v>
      </c>
      <c r="AD41" s="261">
        <v>20006142</v>
      </c>
      <c r="AE41" s="261">
        <v>100030684</v>
      </c>
      <c r="AF41" s="261">
        <v>0</v>
      </c>
      <c r="AG41" s="261">
        <v>20006142</v>
      </c>
      <c r="AH41" s="261">
        <v>100030684</v>
      </c>
      <c r="AI41" s="261">
        <v>0</v>
      </c>
      <c r="AJ41" s="261">
        <v>190832392</v>
      </c>
      <c r="AK41" s="261">
        <v>0</v>
      </c>
      <c r="AL41" s="261">
        <v>0</v>
      </c>
      <c r="AM41" s="261">
        <v>80024542</v>
      </c>
      <c r="AN41" s="261">
        <v>80024542</v>
      </c>
      <c r="AO41" s="261">
        <v>0</v>
      </c>
      <c r="AP41" s="261">
        <v>210838534</v>
      </c>
      <c r="AQ41" s="261">
        <f t="shared" si="15"/>
        <v>140042994</v>
      </c>
      <c r="AS41" s="261"/>
    </row>
    <row r="42" spans="1:45" x14ac:dyDescent="0.25">
      <c r="A42" s="2" t="s">
        <v>69</v>
      </c>
      <c r="B42" s="259" t="s">
        <v>70</v>
      </c>
      <c r="C42" s="261">
        <v>2458062</v>
      </c>
      <c r="D42" s="261">
        <v>0</v>
      </c>
      <c r="E42" s="261">
        <v>0</v>
      </c>
      <c r="F42" s="261">
        <v>0</v>
      </c>
      <c r="G42" s="261">
        <f t="shared" si="33"/>
        <v>2458062</v>
      </c>
      <c r="H42" s="261">
        <v>150000</v>
      </c>
      <c r="I42" s="261">
        <v>600000</v>
      </c>
      <c r="J42" s="261">
        <f t="shared" si="2"/>
        <v>1858062</v>
      </c>
      <c r="K42" s="261">
        <v>150000</v>
      </c>
      <c r="L42" s="261">
        <v>600000</v>
      </c>
      <c r="M42" s="261">
        <f t="shared" si="11"/>
        <v>0</v>
      </c>
      <c r="N42" s="261">
        <v>0</v>
      </c>
      <c r="O42" s="261">
        <v>1800000</v>
      </c>
      <c r="P42" s="261">
        <f t="shared" si="12"/>
        <v>1200000</v>
      </c>
      <c r="Q42" s="177">
        <f t="shared" si="3"/>
        <v>658062</v>
      </c>
      <c r="R42" s="261">
        <f t="shared" si="13"/>
        <v>600000</v>
      </c>
      <c r="T42" s="183" t="s">
        <v>69</v>
      </c>
      <c r="U42" s="259" t="s">
        <v>70</v>
      </c>
      <c r="V42" s="261">
        <v>2458062</v>
      </c>
      <c r="W42" s="261">
        <v>0</v>
      </c>
      <c r="X42" s="261">
        <v>0</v>
      </c>
      <c r="Y42" s="261">
        <v>0</v>
      </c>
      <c r="Z42" s="261">
        <v>2458062</v>
      </c>
      <c r="AA42" s="261">
        <v>150000</v>
      </c>
      <c r="AB42" s="261">
        <v>600000</v>
      </c>
      <c r="AC42" s="261">
        <v>1858062</v>
      </c>
      <c r="AD42" s="261">
        <v>150000</v>
      </c>
      <c r="AE42" s="261">
        <v>600000</v>
      </c>
      <c r="AF42" s="261">
        <v>0</v>
      </c>
      <c r="AG42" s="261">
        <v>0</v>
      </c>
      <c r="AH42" s="261">
        <v>1800000</v>
      </c>
      <c r="AI42" s="261">
        <v>1200000</v>
      </c>
      <c r="AJ42" s="261">
        <v>658062</v>
      </c>
      <c r="AK42" s="261">
        <v>0</v>
      </c>
      <c r="AL42" s="261">
        <v>0</v>
      </c>
      <c r="AM42" s="261">
        <v>1800000</v>
      </c>
      <c r="AN42" s="261">
        <v>1800000</v>
      </c>
      <c r="AO42" s="261">
        <v>1200000</v>
      </c>
      <c r="AP42" s="261">
        <v>658062</v>
      </c>
      <c r="AQ42" s="261">
        <f t="shared" si="15"/>
        <v>0</v>
      </c>
      <c r="AS42" s="261"/>
    </row>
    <row r="43" spans="1:45" x14ac:dyDescent="0.25">
      <c r="A43" s="2" t="s">
        <v>71</v>
      </c>
      <c r="B43" s="259" t="s">
        <v>72</v>
      </c>
      <c r="C43" s="261">
        <v>1500000000</v>
      </c>
      <c r="D43" s="261">
        <v>0</v>
      </c>
      <c r="E43" s="261">
        <v>0</v>
      </c>
      <c r="F43" s="261">
        <v>0</v>
      </c>
      <c r="G43" s="261">
        <f t="shared" si="33"/>
        <v>1500000000</v>
      </c>
      <c r="H43" s="261">
        <v>46206713</v>
      </c>
      <c r="I43" s="261">
        <v>348192526</v>
      </c>
      <c r="J43" s="261">
        <f t="shared" si="2"/>
        <v>1151807474</v>
      </c>
      <c r="K43" s="261">
        <v>40334777</v>
      </c>
      <c r="L43" s="261">
        <v>342320590</v>
      </c>
      <c r="M43" s="261">
        <f t="shared" si="11"/>
        <v>5871936</v>
      </c>
      <c r="N43" s="261">
        <v>46206713</v>
      </c>
      <c r="O43" s="261">
        <v>348192526</v>
      </c>
      <c r="P43" s="261">
        <f t="shared" si="12"/>
        <v>0</v>
      </c>
      <c r="Q43" s="177">
        <f t="shared" si="3"/>
        <v>1151807474</v>
      </c>
      <c r="R43" s="261">
        <f t="shared" si="13"/>
        <v>342320590</v>
      </c>
      <c r="T43" s="183" t="s">
        <v>71</v>
      </c>
      <c r="U43" s="259" t="s">
        <v>72</v>
      </c>
      <c r="V43" s="261">
        <v>1500000000</v>
      </c>
      <c r="W43" s="261">
        <v>0</v>
      </c>
      <c r="X43" s="261">
        <v>0</v>
      </c>
      <c r="Y43" s="261">
        <v>0</v>
      </c>
      <c r="Z43" s="261">
        <v>1500000000</v>
      </c>
      <c r="AA43" s="261">
        <v>46206713</v>
      </c>
      <c r="AB43" s="261">
        <v>348192526</v>
      </c>
      <c r="AC43" s="261">
        <v>1151807474</v>
      </c>
      <c r="AD43" s="261">
        <v>40334777</v>
      </c>
      <c r="AE43" s="261">
        <v>342320590</v>
      </c>
      <c r="AF43" s="261">
        <v>5871936</v>
      </c>
      <c r="AG43" s="261">
        <v>46206713</v>
      </c>
      <c r="AH43" s="261">
        <v>348192526</v>
      </c>
      <c r="AI43" s="261">
        <v>0</v>
      </c>
      <c r="AJ43" s="261">
        <v>1151807474</v>
      </c>
      <c r="AK43" s="261">
        <v>0</v>
      </c>
      <c r="AL43" s="261">
        <v>46206713</v>
      </c>
      <c r="AM43" s="261">
        <v>348192526</v>
      </c>
      <c r="AN43" s="261">
        <v>348192526</v>
      </c>
      <c r="AO43" s="261">
        <v>0</v>
      </c>
      <c r="AP43" s="261">
        <v>1151807474</v>
      </c>
      <c r="AQ43" s="261">
        <f t="shared" si="15"/>
        <v>323446991</v>
      </c>
      <c r="AS43" s="261"/>
    </row>
    <row r="44" spans="1:45" x14ac:dyDescent="0.25">
      <c r="A44" s="2" t="s">
        <v>73</v>
      </c>
      <c r="B44" s="259" t="s">
        <v>74</v>
      </c>
      <c r="C44" s="261">
        <v>214680675</v>
      </c>
      <c r="D44" s="261">
        <v>0</v>
      </c>
      <c r="E44" s="261">
        <v>0</v>
      </c>
      <c r="F44" s="261">
        <v>0</v>
      </c>
      <c r="G44" s="261">
        <f t="shared" si="33"/>
        <v>214680675</v>
      </c>
      <c r="H44" s="261">
        <v>0</v>
      </c>
      <c r="I44" s="261">
        <v>214680675</v>
      </c>
      <c r="J44" s="261">
        <f t="shared" si="2"/>
        <v>0</v>
      </c>
      <c r="K44" s="261">
        <v>0</v>
      </c>
      <c r="L44" s="261">
        <v>214680675</v>
      </c>
      <c r="M44" s="261">
        <f t="shared" si="11"/>
        <v>0</v>
      </c>
      <c r="N44" s="261">
        <v>0</v>
      </c>
      <c r="O44" s="261">
        <v>214680675</v>
      </c>
      <c r="P44" s="261">
        <f t="shared" si="12"/>
        <v>0</v>
      </c>
      <c r="Q44" s="177">
        <f t="shared" si="3"/>
        <v>0</v>
      </c>
      <c r="R44" s="261">
        <f t="shared" si="13"/>
        <v>214680675</v>
      </c>
      <c r="T44" s="183" t="s">
        <v>73</v>
      </c>
      <c r="U44" s="259" t="s">
        <v>74</v>
      </c>
      <c r="V44" s="261">
        <v>214680675</v>
      </c>
      <c r="W44" s="261">
        <v>0</v>
      </c>
      <c r="X44" s="261">
        <v>0</v>
      </c>
      <c r="Y44" s="261">
        <v>0</v>
      </c>
      <c r="Z44" s="261">
        <v>214680675</v>
      </c>
      <c r="AA44" s="261">
        <v>0</v>
      </c>
      <c r="AB44" s="261">
        <v>214680675</v>
      </c>
      <c r="AC44" s="261">
        <v>0</v>
      </c>
      <c r="AD44" s="261">
        <v>0</v>
      </c>
      <c r="AE44" s="261">
        <v>214680675</v>
      </c>
      <c r="AF44" s="261">
        <v>0</v>
      </c>
      <c r="AG44" s="261">
        <v>0</v>
      </c>
      <c r="AH44" s="261">
        <v>214680675</v>
      </c>
      <c r="AI44" s="261">
        <v>0</v>
      </c>
      <c r="AJ44" s="261">
        <v>0</v>
      </c>
      <c r="AK44" s="261">
        <v>0</v>
      </c>
      <c r="AL44" s="261">
        <v>0</v>
      </c>
      <c r="AM44" s="261">
        <v>214680675</v>
      </c>
      <c r="AN44" s="261">
        <v>214680675</v>
      </c>
      <c r="AO44" s="261">
        <v>0</v>
      </c>
      <c r="AP44" s="261">
        <v>0</v>
      </c>
      <c r="AQ44" s="261">
        <f t="shared" si="15"/>
        <v>0</v>
      </c>
      <c r="AS44" s="261"/>
    </row>
    <row r="45" spans="1:45" x14ac:dyDescent="0.25">
      <c r="A45" s="2" t="s">
        <v>75</v>
      </c>
      <c r="B45" s="259" t="s">
        <v>76</v>
      </c>
      <c r="C45" s="261">
        <v>408537688</v>
      </c>
      <c r="D45" s="261">
        <v>0</v>
      </c>
      <c r="E45" s="261">
        <v>0</v>
      </c>
      <c r="F45" s="261">
        <v>0</v>
      </c>
      <c r="G45" s="261">
        <f t="shared" si="33"/>
        <v>408537688</v>
      </c>
      <c r="H45" s="261">
        <v>35199415</v>
      </c>
      <c r="I45" s="261">
        <v>35199415</v>
      </c>
      <c r="J45" s="261">
        <f t="shared" si="2"/>
        <v>373338273</v>
      </c>
      <c r="K45" s="261">
        <v>35199415</v>
      </c>
      <c r="L45" s="261">
        <v>35199415</v>
      </c>
      <c r="M45" s="261">
        <f t="shared" si="11"/>
        <v>0</v>
      </c>
      <c r="N45" s="261">
        <v>35199415</v>
      </c>
      <c r="O45" s="261">
        <v>35199415</v>
      </c>
      <c r="P45" s="261">
        <f t="shared" si="12"/>
        <v>0</v>
      </c>
      <c r="Q45" s="177">
        <f t="shared" si="3"/>
        <v>373338273</v>
      </c>
      <c r="R45" s="261">
        <f t="shared" si="13"/>
        <v>35199415</v>
      </c>
      <c r="T45" s="183" t="s">
        <v>75</v>
      </c>
      <c r="U45" s="259" t="s">
        <v>76</v>
      </c>
      <c r="V45" s="261">
        <v>408537688</v>
      </c>
      <c r="W45" s="261">
        <v>0</v>
      </c>
      <c r="X45" s="261">
        <v>0</v>
      </c>
      <c r="Y45" s="261">
        <v>0</v>
      </c>
      <c r="Z45" s="261">
        <v>408537688</v>
      </c>
      <c r="AA45" s="261">
        <v>35199415</v>
      </c>
      <c r="AB45" s="261">
        <v>35199415</v>
      </c>
      <c r="AC45" s="261">
        <v>373338273</v>
      </c>
      <c r="AD45" s="261">
        <v>35199415</v>
      </c>
      <c r="AE45" s="261">
        <v>35199415</v>
      </c>
      <c r="AF45" s="261">
        <v>0</v>
      </c>
      <c r="AG45" s="261">
        <v>35199415</v>
      </c>
      <c r="AH45" s="261">
        <v>35199415</v>
      </c>
      <c r="AI45" s="261">
        <v>0</v>
      </c>
      <c r="AJ45" s="261">
        <v>373338273</v>
      </c>
      <c r="AK45" s="261">
        <v>0</v>
      </c>
      <c r="AL45" s="261">
        <v>0</v>
      </c>
      <c r="AM45" s="261">
        <v>0</v>
      </c>
      <c r="AN45" s="261">
        <v>0</v>
      </c>
      <c r="AO45" s="261">
        <v>0</v>
      </c>
      <c r="AP45" s="261">
        <v>408537688</v>
      </c>
      <c r="AQ45" s="261">
        <f t="shared" si="15"/>
        <v>246395905</v>
      </c>
      <c r="AS45" s="261"/>
    </row>
    <row r="46" spans="1:45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 t="shared" ref="D46:R46" si="34">+D47+D58+D71</f>
        <v>0</v>
      </c>
      <c r="E46" s="6">
        <f t="shared" si="34"/>
        <v>0</v>
      </c>
      <c r="F46" s="6">
        <f t="shared" si="34"/>
        <v>900000000</v>
      </c>
      <c r="G46" s="6">
        <f t="shared" si="34"/>
        <v>34295301979</v>
      </c>
      <c r="H46" s="6">
        <f t="shared" si="34"/>
        <v>13745190274</v>
      </c>
      <c r="I46" s="6">
        <f t="shared" si="34"/>
        <v>27207502290.200001</v>
      </c>
      <c r="J46" s="6">
        <f t="shared" si="2"/>
        <v>7087799688.7999992</v>
      </c>
      <c r="K46" s="6">
        <f t="shared" si="34"/>
        <v>2936549760</v>
      </c>
      <c r="L46" s="6">
        <f t="shared" si="34"/>
        <v>13011795877</v>
      </c>
      <c r="M46" s="6">
        <f t="shared" si="34"/>
        <v>14195706413.200001</v>
      </c>
      <c r="N46" s="6">
        <f t="shared" si="34"/>
        <v>952677540</v>
      </c>
      <c r="O46" s="6">
        <f t="shared" si="34"/>
        <v>31226210344.200001</v>
      </c>
      <c r="P46" s="6">
        <f t="shared" si="34"/>
        <v>4018708054</v>
      </c>
      <c r="Q46" s="6">
        <f t="shared" si="3"/>
        <v>3069091634.7999992</v>
      </c>
      <c r="R46" s="6">
        <f t="shared" si="34"/>
        <v>13011795877</v>
      </c>
      <c r="S46" s="17"/>
      <c r="T46" s="183" t="s">
        <v>77</v>
      </c>
      <c r="U46" s="259" t="s">
        <v>78</v>
      </c>
      <c r="V46" s="261">
        <v>33395301979</v>
      </c>
      <c r="W46" s="261">
        <v>0</v>
      </c>
      <c r="X46" s="261">
        <v>0</v>
      </c>
      <c r="Y46" s="261">
        <v>900000000</v>
      </c>
      <c r="Z46" s="261">
        <v>34295301979</v>
      </c>
      <c r="AA46" s="261">
        <v>13745190274</v>
      </c>
      <c r="AB46" s="261">
        <v>27207502290.200001</v>
      </c>
      <c r="AC46" s="261">
        <v>7087799688.7999992</v>
      </c>
      <c r="AD46" s="261">
        <v>2936549760</v>
      </c>
      <c r="AE46" s="261">
        <v>13011795877</v>
      </c>
      <c r="AF46" s="261">
        <v>14195706413.200001</v>
      </c>
      <c r="AG46" s="261">
        <v>952677540</v>
      </c>
      <c r="AH46" s="261">
        <v>31226210344.200001</v>
      </c>
      <c r="AI46" s="261">
        <v>4018708054</v>
      </c>
      <c r="AJ46" s="261">
        <v>3069091634.7999992</v>
      </c>
      <c r="AK46" s="261">
        <v>110537</v>
      </c>
      <c r="AL46" s="261">
        <v>711896883</v>
      </c>
      <c r="AM46" s="261">
        <v>30985540224.200001</v>
      </c>
      <c r="AN46" s="261">
        <v>30985429687.200001</v>
      </c>
      <c r="AO46" s="261">
        <v>16115048994</v>
      </c>
      <c r="AP46" s="261">
        <v>3309872291.7999992</v>
      </c>
      <c r="AQ46" s="6"/>
      <c r="AS46" s="6"/>
    </row>
    <row r="47" spans="1:45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 t="shared" ref="D47:R47" si="35">+D48</f>
        <v>0</v>
      </c>
      <c r="E47" s="6">
        <f t="shared" si="35"/>
        <v>0</v>
      </c>
      <c r="F47" s="6">
        <f t="shared" si="35"/>
        <v>900000000</v>
      </c>
      <c r="G47" s="6">
        <f t="shared" si="35"/>
        <v>25532285825</v>
      </c>
      <c r="H47" s="6">
        <f t="shared" si="35"/>
        <v>7931008517</v>
      </c>
      <c r="I47" s="6">
        <f t="shared" si="35"/>
        <v>18996244681.200001</v>
      </c>
      <c r="J47" s="6">
        <f t="shared" si="2"/>
        <v>6536041143.7999992</v>
      </c>
      <c r="K47" s="6">
        <f t="shared" si="35"/>
        <v>1481549760</v>
      </c>
      <c r="L47" s="6">
        <f t="shared" si="35"/>
        <v>9960509637</v>
      </c>
      <c r="M47" s="6">
        <f t="shared" si="35"/>
        <v>9035735044.2000008</v>
      </c>
      <c r="N47" s="6">
        <f t="shared" si="35"/>
        <v>892951640</v>
      </c>
      <c r="O47" s="6">
        <f t="shared" si="35"/>
        <v>23014126204.200001</v>
      </c>
      <c r="P47" s="6">
        <f t="shared" si="35"/>
        <v>4017881523</v>
      </c>
      <c r="Q47" s="6">
        <f t="shared" si="3"/>
        <v>2518159620.7999992</v>
      </c>
      <c r="R47" s="6">
        <f t="shared" si="35"/>
        <v>9960509637</v>
      </c>
      <c r="S47" s="17"/>
      <c r="T47" s="183" t="s">
        <v>79</v>
      </c>
      <c r="U47" s="259" t="s">
        <v>14</v>
      </c>
      <c r="V47" s="261">
        <v>24632285825</v>
      </c>
      <c r="W47" s="261">
        <v>0</v>
      </c>
      <c r="X47" s="261">
        <v>0</v>
      </c>
      <c r="Y47" s="261">
        <v>900000000</v>
      </c>
      <c r="Z47" s="261">
        <v>25532285825</v>
      </c>
      <c r="AA47" s="261">
        <v>7931008517</v>
      </c>
      <c r="AB47" s="261">
        <v>18996244681.200001</v>
      </c>
      <c r="AC47" s="261">
        <v>6536041143.7999992</v>
      </c>
      <c r="AD47" s="261">
        <v>1481549760</v>
      </c>
      <c r="AE47" s="261">
        <v>9960509637</v>
      </c>
      <c r="AF47" s="261">
        <v>9035735044.2000008</v>
      </c>
      <c r="AG47" s="261">
        <v>892951640</v>
      </c>
      <c r="AH47" s="261">
        <v>23014126204.200001</v>
      </c>
      <c r="AI47" s="261">
        <v>4017881523</v>
      </c>
      <c r="AJ47" s="261">
        <v>2518159620.7999992</v>
      </c>
      <c r="AK47" s="261">
        <v>110537</v>
      </c>
      <c r="AL47" s="261">
        <v>653928383</v>
      </c>
      <c r="AM47" s="261">
        <v>22775213484.200001</v>
      </c>
      <c r="AN47" s="261">
        <v>22775102947.200001</v>
      </c>
      <c r="AO47" s="261">
        <v>10359766606</v>
      </c>
      <c r="AP47" s="261">
        <v>2757182877.7999992</v>
      </c>
      <c r="AQ47" s="6"/>
      <c r="AS47" s="6"/>
    </row>
    <row r="48" spans="1:45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 t="shared" ref="D48:R48" si="36">SUM(D49:D57)</f>
        <v>0</v>
      </c>
      <c r="E48" s="9">
        <f t="shared" si="36"/>
        <v>0</v>
      </c>
      <c r="F48" s="9">
        <f t="shared" si="36"/>
        <v>900000000</v>
      </c>
      <c r="G48" s="9">
        <f t="shared" si="36"/>
        <v>25532285825</v>
      </c>
      <c r="H48" s="9">
        <f t="shared" si="36"/>
        <v>7931008517</v>
      </c>
      <c r="I48" s="9">
        <f t="shared" si="36"/>
        <v>18996244681.200001</v>
      </c>
      <c r="J48" s="9">
        <f t="shared" si="2"/>
        <v>6536041143.7999992</v>
      </c>
      <c r="K48" s="9">
        <f t="shared" si="36"/>
        <v>1481549760</v>
      </c>
      <c r="L48" s="9">
        <f t="shared" si="36"/>
        <v>9960509637</v>
      </c>
      <c r="M48" s="9">
        <f t="shared" si="36"/>
        <v>9035735044.2000008</v>
      </c>
      <c r="N48" s="9">
        <f t="shared" si="36"/>
        <v>892951640</v>
      </c>
      <c r="O48" s="9">
        <f t="shared" si="36"/>
        <v>23014126204.200001</v>
      </c>
      <c r="P48" s="9">
        <f t="shared" si="36"/>
        <v>4017881523</v>
      </c>
      <c r="Q48" s="9">
        <f t="shared" si="3"/>
        <v>2518159620.7999992</v>
      </c>
      <c r="R48" s="9">
        <f t="shared" si="36"/>
        <v>9960509637</v>
      </c>
      <c r="T48" s="183" t="s">
        <v>80</v>
      </c>
      <c r="U48" s="259" t="s">
        <v>16</v>
      </c>
      <c r="V48" s="261">
        <v>24632285825</v>
      </c>
      <c r="W48" s="261">
        <v>0</v>
      </c>
      <c r="X48" s="261">
        <v>0</v>
      </c>
      <c r="Y48" s="261">
        <v>900000000</v>
      </c>
      <c r="Z48" s="261">
        <v>25532285825</v>
      </c>
      <c r="AA48" s="261">
        <v>7931008517</v>
      </c>
      <c r="AB48" s="261">
        <v>18996244681.200001</v>
      </c>
      <c r="AC48" s="261">
        <v>6536041143.7999992</v>
      </c>
      <c r="AD48" s="261">
        <v>1481549760</v>
      </c>
      <c r="AE48" s="261">
        <v>9960509637</v>
      </c>
      <c r="AF48" s="261">
        <v>9035735044.2000008</v>
      </c>
      <c r="AG48" s="261">
        <v>892951640</v>
      </c>
      <c r="AH48" s="261">
        <v>23014126204.200001</v>
      </c>
      <c r="AI48" s="261">
        <v>4017881523</v>
      </c>
      <c r="AJ48" s="261">
        <v>2518159620.7999992</v>
      </c>
      <c r="AK48" s="261">
        <v>110537</v>
      </c>
      <c r="AL48" s="261">
        <v>653928383</v>
      </c>
      <c r="AM48" s="261">
        <v>22775213484.200001</v>
      </c>
      <c r="AN48" s="261">
        <v>22775102947.200001</v>
      </c>
      <c r="AO48" s="261">
        <v>10359766606</v>
      </c>
      <c r="AP48" s="261">
        <v>2757182877.7999992</v>
      </c>
      <c r="AQ48" s="9"/>
      <c r="AS48" s="9"/>
    </row>
    <row r="49" spans="1:45" x14ac:dyDescent="0.25">
      <c r="A49" s="2" t="s">
        <v>81</v>
      </c>
      <c r="B49" s="259" t="s">
        <v>82</v>
      </c>
      <c r="C49" s="261">
        <v>21793648437</v>
      </c>
      <c r="D49" s="261">
        <v>0</v>
      </c>
      <c r="E49" s="261">
        <v>0</v>
      </c>
      <c r="F49" s="261">
        <v>900000000</v>
      </c>
      <c r="G49" s="261">
        <f t="shared" ref="G49:G57" si="37">+C49+D49-E49+F49</f>
        <v>22693648437</v>
      </c>
      <c r="H49" s="261">
        <v>5945726007</v>
      </c>
      <c r="I49" s="261">
        <v>16510962171.200001</v>
      </c>
      <c r="J49" s="261">
        <f t="shared" si="2"/>
        <v>6182686265.7999992</v>
      </c>
      <c r="K49" s="261">
        <v>1481549760</v>
      </c>
      <c r="L49" s="261">
        <v>9460509637</v>
      </c>
      <c r="M49" s="261">
        <f t="shared" si="11"/>
        <v>7050452534.2000008</v>
      </c>
      <c r="N49" s="261">
        <v>892951640</v>
      </c>
      <c r="O49" s="261">
        <v>20528843694.200001</v>
      </c>
      <c r="P49" s="261">
        <f t="shared" si="12"/>
        <v>4017881523</v>
      </c>
      <c r="Q49" s="177">
        <f t="shared" si="3"/>
        <v>2164804742.7999992</v>
      </c>
      <c r="R49" s="261">
        <f t="shared" si="13"/>
        <v>9460509637</v>
      </c>
      <c r="S49" s="22"/>
      <c r="T49" s="183" t="s">
        <v>81</v>
      </c>
      <c r="U49" s="259" t="s">
        <v>82</v>
      </c>
      <c r="V49" s="261">
        <v>21793648437</v>
      </c>
      <c r="W49" s="261">
        <v>0</v>
      </c>
      <c r="X49" s="261">
        <v>0</v>
      </c>
      <c r="Y49" s="261">
        <v>900000000</v>
      </c>
      <c r="Z49" s="261">
        <v>22693648437</v>
      </c>
      <c r="AA49" s="261">
        <v>5945726007</v>
      </c>
      <c r="AB49" s="261">
        <v>16510962171.200001</v>
      </c>
      <c r="AC49" s="261">
        <v>6182686265.7999992</v>
      </c>
      <c r="AD49" s="261">
        <v>1481549760</v>
      </c>
      <c r="AE49" s="261">
        <v>9460509637</v>
      </c>
      <c r="AF49" s="261">
        <v>7050452534.2000008</v>
      </c>
      <c r="AG49" s="261">
        <v>892951640</v>
      </c>
      <c r="AH49" s="261">
        <v>20528843694.200001</v>
      </c>
      <c r="AI49" s="261">
        <v>4017881523</v>
      </c>
      <c r="AJ49" s="261">
        <v>2164804742.7999992</v>
      </c>
      <c r="AK49" s="261">
        <v>110537</v>
      </c>
      <c r="AL49" s="261">
        <v>653928383</v>
      </c>
      <c r="AM49" s="261">
        <v>20289930974.200001</v>
      </c>
      <c r="AN49" s="261">
        <v>20289820437.200001</v>
      </c>
      <c r="AO49" s="261">
        <v>8374484096</v>
      </c>
      <c r="AP49" s="261">
        <v>2403827999.7999992</v>
      </c>
      <c r="AQ49" s="261"/>
      <c r="AS49" s="261"/>
    </row>
    <row r="50" spans="1:45" x14ac:dyDescent="0.25">
      <c r="A50" s="2" t="s">
        <v>83</v>
      </c>
      <c r="B50" s="259" t="s">
        <v>22</v>
      </c>
      <c r="C50" s="261">
        <v>40760855</v>
      </c>
      <c r="D50" s="261">
        <v>0</v>
      </c>
      <c r="E50" s="261">
        <v>0</v>
      </c>
      <c r="F50" s="261">
        <v>0</v>
      </c>
      <c r="G50" s="261">
        <f t="shared" si="37"/>
        <v>40760855</v>
      </c>
      <c r="H50" s="261">
        <v>0</v>
      </c>
      <c r="I50" s="261">
        <v>0</v>
      </c>
      <c r="J50" s="261">
        <f t="shared" si="2"/>
        <v>40760855</v>
      </c>
      <c r="K50" s="261">
        <v>0</v>
      </c>
      <c r="L50" s="261">
        <v>0</v>
      </c>
      <c r="M50" s="261">
        <f t="shared" si="11"/>
        <v>0</v>
      </c>
      <c r="N50" s="261">
        <v>0</v>
      </c>
      <c r="O50" s="261">
        <v>0</v>
      </c>
      <c r="P50" s="261">
        <f t="shared" si="12"/>
        <v>0</v>
      </c>
      <c r="Q50" s="177">
        <f t="shared" si="3"/>
        <v>40760855</v>
      </c>
      <c r="R50" s="261">
        <f t="shared" si="13"/>
        <v>0</v>
      </c>
      <c r="T50" s="183" t="s">
        <v>83</v>
      </c>
      <c r="U50" s="259" t="s">
        <v>22</v>
      </c>
      <c r="V50" s="261">
        <v>40760855</v>
      </c>
      <c r="W50" s="261">
        <v>0</v>
      </c>
      <c r="X50" s="261">
        <v>0</v>
      </c>
      <c r="Y50" s="261">
        <v>0</v>
      </c>
      <c r="Z50" s="261">
        <v>40760855</v>
      </c>
      <c r="AA50" s="261">
        <v>0</v>
      </c>
      <c r="AB50" s="261">
        <v>0</v>
      </c>
      <c r="AC50" s="261">
        <v>40760855</v>
      </c>
      <c r="AD50" s="261">
        <v>0</v>
      </c>
      <c r="AE50" s="261">
        <v>0</v>
      </c>
      <c r="AF50" s="261">
        <v>0</v>
      </c>
      <c r="AG50" s="261">
        <v>0</v>
      </c>
      <c r="AH50" s="261">
        <v>0</v>
      </c>
      <c r="AI50" s="261">
        <v>0</v>
      </c>
      <c r="AJ50" s="261">
        <v>40760855</v>
      </c>
      <c r="AK50" s="261">
        <v>0</v>
      </c>
      <c r="AL50" s="261">
        <v>0</v>
      </c>
      <c r="AM50" s="261">
        <v>0</v>
      </c>
      <c r="AN50" s="261">
        <v>0</v>
      </c>
      <c r="AO50" s="261">
        <v>0</v>
      </c>
      <c r="AP50" s="261">
        <v>40760855</v>
      </c>
      <c r="AQ50" s="261"/>
      <c r="AS50" s="261"/>
    </row>
    <row r="51" spans="1:45" x14ac:dyDescent="0.25">
      <c r="A51" s="2" t="s">
        <v>84</v>
      </c>
      <c r="B51" s="259" t="s">
        <v>24</v>
      </c>
      <c r="C51" s="261">
        <v>59633419</v>
      </c>
      <c r="D51" s="261">
        <v>0</v>
      </c>
      <c r="E51" s="261">
        <v>0</v>
      </c>
      <c r="F51" s="261">
        <v>0</v>
      </c>
      <c r="G51" s="261">
        <f t="shared" si="37"/>
        <v>59633419</v>
      </c>
      <c r="H51" s="261">
        <v>0</v>
      </c>
      <c r="I51" s="261">
        <v>0</v>
      </c>
      <c r="J51" s="261">
        <f t="shared" si="2"/>
        <v>59633419</v>
      </c>
      <c r="K51" s="261">
        <v>0</v>
      </c>
      <c r="L51" s="261">
        <v>0</v>
      </c>
      <c r="M51" s="261">
        <f t="shared" si="11"/>
        <v>0</v>
      </c>
      <c r="N51" s="261">
        <v>0</v>
      </c>
      <c r="O51" s="261">
        <v>0</v>
      </c>
      <c r="P51" s="261">
        <f t="shared" si="12"/>
        <v>0</v>
      </c>
      <c r="Q51" s="177">
        <f t="shared" si="3"/>
        <v>59633419</v>
      </c>
      <c r="R51" s="261">
        <f t="shared" si="13"/>
        <v>0</v>
      </c>
      <c r="T51" s="183" t="s">
        <v>84</v>
      </c>
      <c r="U51" s="259" t="s">
        <v>24</v>
      </c>
      <c r="V51" s="261">
        <v>59633419</v>
      </c>
      <c r="W51" s="261">
        <v>0</v>
      </c>
      <c r="X51" s="261">
        <v>0</v>
      </c>
      <c r="Y51" s="261">
        <v>0</v>
      </c>
      <c r="Z51" s="261">
        <v>59633419</v>
      </c>
      <c r="AA51" s="261">
        <v>0</v>
      </c>
      <c r="AB51" s="261">
        <v>0</v>
      </c>
      <c r="AC51" s="261">
        <v>59633419</v>
      </c>
      <c r="AD51" s="261">
        <v>0</v>
      </c>
      <c r="AE51" s="261">
        <v>0</v>
      </c>
      <c r="AF51" s="261">
        <v>0</v>
      </c>
      <c r="AG51" s="261">
        <v>0</v>
      </c>
      <c r="AH51" s="261">
        <v>0</v>
      </c>
      <c r="AI51" s="261">
        <v>0</v>
      </c>
      <c r="AJ51" s="261">
        <v>59633419</v>
      </c>
      <c r="AK51" s="261">
        <v>0</v>
      </c>
      <c r="AL51" s="261">
        <v>0</v>
      </c>
      <c r="AM51" s="261">
        <v>0</v>
      </c>
      <c r="AN51" s="261">
        <v>0</v>
      </c>
      <c r="AO51" s="261">
        <v>0</v>
      </c>
      <c r="AP51" s="261">
        <v>59633419</v>
      </c>
      <c r="AQ51" s="261"/>
      <c r="AS51" s="261"/>
    </row>
    <row r="52" spans="1:45" x14ac:dyDescent="0.25">
      <c r="A52" s="2" t="s">
        <v>85</v>
      </c>
      <c r="B52" s="259" t="s">
        <v>26</v>
      </c>
      <c r="C52" s="261">
        <v>305376287</v>
      </c>
      <c r="D52" s="261">
        <v>0</v>
      </c>
      <c r="E52" s="261">
        <v>0</v>
      </c>
      <c r="F52" s="261">
        <v>0</v>
      </c>
      <c r="G52" s="261">
        <f t="shared" si="37"/>
        <v>305376287</v>
      </c>
      <c r="H52" s="261">
        <v>305376287</v>
      </c>
      <c r="I52" s="261">
        <v>305376287</v>
      </c>
      <c r="J52" s="261">
        <f t="shared" si="2"/>
        <v>0</v>
      </c>
      <c r="K52" s="261">
        <v>0</v>
      </c>
      <c r="L52" s="261">
        <v>0</v>
      </c>
      <c r="M52" s="261">
        <f t="shared" si="11"/>
        <v>305376287</v>
      </c>
      <c r="N52" s="261">
        <v>0</v>
      </c>
      <c r="O52" s="261">
        <v>305376287</v>
      </c>
      <c r="P52" s="261">
        <f t="shared" si="12"/>
        <v>0</v>
      </c>
      <c r="Q52" s="177">
        <f t="shared" si="3"/>
        <v>0</v>
      </c>
      <c r="R52" s="261">
        <f t="shared" si="13"/>
        <v>0</v>
      </c>
      <c r="T52" s="183" t="s">
        <v>85</v>
      </c>
      <c r="U52" s="259" t="s">
        <v>26</v>
      </c>
      <c r="V52" s="261">
        <v>305376287</v>
      </c>
      <c r="W52" s="261">
        <v>0</v>
      </c>
      <c r="X52" s="261">
        <v>0</v>
      </c>
      <c r="Y52" s="261">
        <v>0</v>
      </c>
      <c r="Z52" s="261">
        <v>305376287</v>
      </c>
      <c r="AA52" s="261">
        <v>305376287</v>
      </c>
      <c r="AB52" s="261">
        <v>305376287</v>
      </c>
      <c r="AC52" s="261">
        <v>0</v>
      </c>
      <c r="AD52" s="261">
        <v>0</v>
      </c>
      <c r="AE52" s="261">
        <v>0</v>
      </c>
      <c r="AF52" s="261">
        <v>305376287</v>
      </c>
      <c r="AG52" s="261">
        <v>0</v>
      </c>
      <c r="AH52" s="261">
        <v>305376287</v>
      </c>
      <c r="AI52" s="261">
        <v>0</v>
      </c>
      <c r="AJ52" s="261">
        <v>0</v>
      </c>
      <c r="AK52" s="261">
        <v>0</v>
      </c>
      <c r="AL52" s="261">
        <v>0</v>
      </c>
      <c r="AM52" s="261">
        <v>305376287</v>
      </c>
      <c r="AN52" s="261">
        <v>305376287</v>
      </c>
      <c r="AO52" s="261">
        <v>305376287</v>
      </c>
      <c r="AP52" s="261">
        <v>0</v>
      </c>
      <c r="AQ52" s="261"/>
      <c r="AS52" s="261"/>
    </row>
    <row r="53" spans="1:45" x14ac:dyDescent="0.25">
      <c r="A53" s="2" t="s">
        <v>86</v>
      </c>
      <c r="B53" s="259" t="s">
        <v>28</v>
      </c>
      <c r="C53" s="261">
        <v>84891685</v>
      </c>
      <c r="D53" s="261">
        <v>0</v>
      </c>
      <c r="E53" s="261">
        <v>0</v>
      </c>
      <c r="F53" s="261">
        <v>0</v>
      </c>
      <c r="G53" s="261">
        <f t="shared" si="37"/>
        <v>84891685</v>
      </c>
      <c r="H53" s="261">
        <v>84891685</v>
      </c>
      <c r="I53" s="261">
        <v>84891685</v>
      </c>
      <c r="J53" s="261">
        <f t="shared" si="2"/>
        <v>0</v>
      </c>
      <c r="K53" s="261">
        <v>0</v>
      </c>
      <c r="L53" s="261">
        <v>0</v>
      </c>
      <c r="M53" s="261">
        <f t="shared" si="11"/>
        <v>84891685</v>
      </c>
      <c r="N53" s="261">
        <v>0</v>
      </c>
      <c r="O53" s="261">
        <v>84891685</v>
      </c>
      <c r="P53" s="261">
        <f t="shared" si="12"/>
        <v>0</v>
      </c>
      <c r="Q53" s="177">
        <f t="shared" si="3"/>
        <v>0</v>
      </c>
      <c r="R53" s="261">
        <f t="shared" si="13"/>
        <v>0</v>
      </c>
      <c r="T53" s="183" t="s">
        <v>86</v>
      </c>
      <c r="U53" s="259" t="s">
        <v>28</v>
      </c>
      <c r="V53" s="261">
        <v>84891685</v>
      </c>
      <c r="W53" s="261">
        <v>0</v>
      </c>
      <c r="X53" s="261">
        <v>0</v>
      </c>
      <c r="Y53" s="261">
        <v>0</v>
      </c>
      <c r="Z53" s="261">
        <v>84891685</v>
      </c>
      <c r="AA53" s="261">
        <v>84891685</v>
      </c>
      <c r="AB53" s="261">
        <v>84891685</v>
      </c>
      <c r="AC53" s="261">
        <v>0</v>
      </c>
      <c r="AD53" s="261">
        <v>0</v>
      </c>
      <c r="AE53" s="261">
        <v>0</v>
      </c>
      <c r="AF53" s="261">
        <v>84891685</v>
      </c>
      <c r="AG53" s="261">
        <v>0</v>
      </c>
      <c r="AH53" s="261">
        <v>84891685</v>
      </c>
      <c r="AI53" s="261">
        <v>0</v>
      </c>
      <c r="AJ53" s="261">
        <v>0</v>
      </c>
      <c r="AK53" s="261">
        <v>0</v>
      </c>
      <c r="AL53" s="261">
        <v>0</v>
      </c>
      <c r="AM53" s="261">
        <v>84891685</v>
      </c>
      <c r="AN53" s="261">
        <v>84891685</v>
      </c>
      <c r="AO53" s="261">
        <v>84891685</v>
      </c>
      <c r="AP53" s="261">
        <v>0</v>
      </c>
      <c r="AQ53" s="261"/>
      <c r="AS53" s="261"/>
    </row>
    <row r="54" spans="1:45" x14ac:dyDescent="0.25">
      <c r="A54" s="2" t="s">
        <v>87</v>
      </c>
      <c r="B54" s="259" t="s">
        <v>30</v>
      </c>
      <c r="C54" s="261">
        <v>118077452</v>
      </c>
      <c r="D54" s="261">
        <v>0</v>
      </c>
      <c r="E54" s="261">
        <v>0</v>
      </c>
      <c r="F54" s="261">
        <v>0</v>
      </c>
      <c r="G54" s="261">
        <f t="shared" si="37"/>
        <v>118077452</v>
      </c>
      <c r="H54" s="261">
        <v>0</v>
      </c>
      <c r="I54" s="261">
        <v>0</v>
      </c>
      <c r="J54" s="261">
        <f t="shared" si="2"/>
        <v>118077452</v>
      </c>
      <c r="K54" s="261">
        <v>0</v>
      </c>
      <c r="L54" s="261">
        <v>0</v>
      </c>
      <c r="M54" s="261">
        <f t="shared" si="11"/>
        <v>0</v>
      </c>
      <c r="N54" s="261">
        <v>0</v>
      </c>
      <c r="O54" s="261">
        <v>0</v>
      </c>
      <c r="P54" s="261">
        <f t="shared" si="12"/>
        <v>0</v>
      </c>
      <c r="Q54" s="177">
        <f t="shared" si="3"/>
        <v>118077452</v>
      </c>
      <c r="R54" s="261">
        <f t="shared" si="13"/>
        <v>0</v>
      </c>
      <c r="T54" s="183" t="s">
        <v>87</v>
      </c>
      <c r="U54" s="259" t="s">
        <v>30</v>
      </c>
      <c r="V54" s="261">
        <v>118077452</v>
      </c>
      <c r="W54" s="261">
        <v>0</v>
      </c>
      <c r="X54" s="261">
        <v>0</v>
      </c>
      <c r="Y54" s="261">
        <v>0</v>
      </c>
      <c r="Z54" s="261">
        <v>118077452</v>
      </c>
      <c r="AA54" s="261">
        <v>0</v>
      </c>
      <c r="AB54" s="261">
        <v>0</v>
      </c>
      <c r="AC54" s="261">
        <v>118077452</v>
      </c>
      <c r="AD54" s="261">
        <v>0</v>
      </c>
      <c r="AE54" s="261">
        <v>0</v>
      </c>
      <c r="AF54" s="261">
        <v>0</v>
      </c>
      <c r="AG54" s="261">
        <v>0</v>
      </c>
      <c r="AH54" s="261">
        <v>0</v>
      </c>
      <c r="AI54" s="261">
        <v>0</v>
      </c>
      <c r="AJ54" s="261">
        <v>118077452</v>
      </c>
      <c r="AK54" s="261">
        <v>0</v>
      </c>
      <c r="AL54" s="261">
        <v>0</v>
      </c>
      <c r="AM54" s="261">
        <v>0</v>
      </c>
      <c r="AN54" s="261">
        <v>0</v>
      </c>
      <c r="AO54" s="261">
        <v>0</v>
      </c>
      <c r="AP54" s="261">
        <v>118077452</v>
      </c>
      <c r="AQ54" s="261"/>
      <c r="AS54" s="261"/>
    </row>
    <row r="55" spans="1:45" x14ac:dyDescent="0.25">
      <c r="A55" s="2" t="s">
        <v>88</v>
      </c>
      <c r="B55" s="259" t="s">
        <v>32</v>
      </c>
      <c r="C55" s="261">
        <v>1110470437</v>
      </c>
      <c r="D55" s="261">
        <v>0</v>
      </c>
      <c r="E55" s="261">
        <v>0</v>
      </c>
      <c r="F55" s="261">
        <v>0</v>
      </c>
      <c r="G55" s="261">
        <f t="shared" si="37"/>
        <v>1110470437</v>
      </c>
      <c r="H55" s="261">
        <v>860470437</v>
      </c>
      <c r="I55" s="261">
        <v>1110470437</v>
      </c>
      <c r="J55" s="261">
        <f t="shared" si="2"/>
        <v>0</v>
      </c>
      <c r="K55" s="261">
        <v>0</v>
      </c>
      <c r="L55" s="261">
        <v>250000000</v>
      </c>
      <c r="M55" s="261">
        <f t="shared" si="11"/>
        <v>860470437</v>
      </c>
      <c r="N55" s="261">
        <v>0</v>
      </c>
      <c r="O55" s="261">
        <v>1110470437</v>
      </c>
      <c r="P55" s="261">
        <f t="shared" si="12"/>
        <v>0</v>
      </c>
      <c r="Q55" s="177">
        <f t="shared" si="3"/>
        <v>0</v>
      </c>
      <c r="R55" s="261">
        <f t="shared" si="13"/>
        <v>250000000</v>
      </c>
      <c r="T55" s="183" t="s">
        <v>88</v>
      </c>
      <c r="U55" s="259" t="s">
        <v>32</v>
      </c>
      <c r="V55" s="261">
        <v>1110470437</v>
      </c>
      <c r="W55" s="261">
        <v>0</v>
      </c>
      <c r="X55" s="261">
        <v>0</v>
      </c>
      <c r="Y55" s="261">
        <v>0</v>
      </c>
      <c r="Z55" s="261">
        <v>1110470437</v>
      </c>
      <c r="AA55" s="261">
        <v>860470437</v>
      </c>
      <c r="AB55" s="261">
        <v>1110470437</v>
      </c>
      <c r="AC55" s="261">
        <v>0</v>
      </c>
      <c r="AD55" s="261">
        <v>0</v>
      </c>
      <c r="AE55" s="261">
        <v>250000000</v>
      </c>
      <c r="AF55" s="261">
        <v>860470437</v>
      </c>
      <c r="AG55" s="261">
        <v>0</v>
      </c>
      <c r="AH55" s="261">
        <v>1110470437</v>
      </c>
      <c r="AI55" s="261">
        <v>0</v>
      </c>
      <c r="AJ55" s="261">
        <v>0</v>
      </c>
      <c r="AK55" s="261">
        <v>0</v>
      </c>
      <c r="AL55" s="261">
        <v>0</v>
      </c>
      <c r="AM55" s="261">
        <v>1110470437</v>
      </c>
      <c r="AN55" s="261">
        <v>1110470437</v>
      </c>
      <c r="AO55" s="261">
        <v>860470437</v>
      </c>
      <c r="AP55" s="261">
        <v>0</v>
      </c>
      <c r="AQ55" s="261"/>
      <c r="AS55" s="261"/>
    </row>
    <row r="56" spans="1:45" x14ac:dyDescent="0.25">
      <c r="A56" s="2" t="s">
        <v>89</v>
      </c>
      <c r="B56" s="259" t="s">
        <v>34</v>
      </c>
      <c r="C56" s="261">
        <v>1082677253</v>
      </c>
      <c r="D56" s="261">
        <v>0</v>
      </c>
      <c r="E56" s="261">
        <v>0</v>
      </c>
      <c r="F56" s="261">
        <v>0</v>
      </c>
      <c r="G56" s="261">
        <f t="shared" si="37"/>
        <v>1082677253</v>
      </c>
      <c r="H56" s="261">
        <v>734544101</v>
      </c>
      <c r="I56" s="261">
        <v>984544101</v>
      </c>
      <c r="J56" s="261">
        <f t="shared" si="2"/>
        <v>98133152</v>
      </c>
      <c r="K56" s="261">
        <v>0</v>
      </c>
      <c r="L56" s="261">
        <v>250000000</v>
      </c>
      <c r="M56" s="261">
        <f t="shared" si="11"/>
        <v>734544101</v>
      </c>
      <c r="N56" s="261">
        <v>0</v>
      </c>
      <c r="O56" s="261">
        <v>984544101</v>
      </c>
      <c r="P56" s="261">
        <f t="shared" si="12"/>
        <v>0</v>
      </c>
      <c r="Q56" s="177">
        <f t="shared" si="3"/>
        <v>98133152</v>
      </c>
      <c r="R56" s="261">
        <f t="shared" si="13"/>
        <v>250000000</v>
      </c>
      <c r="T56" s="183" t="s">
        <v>89</v>
      </c>
      <c r="U56" s="259" t="s">
        <v>34</v>
      </c>
      <c r="V56" s="261">
        <v>1082677253</v>
      </c>
      <c r="W56" s="261">
        <v>0</v>
      </c>
      <c r="X56" s="261">
        <v>0</v>
      </c>
      <c r="Y56" s="261">
        <v>0</v>
      </c>
      <c r="Z56" s="261">
        <v>1082677253</v>
      </c>
      <c r="AA56" s="261">
        <v>734544101</v>
      </c>
      <c r="AB56" s="261">
        <v>984544101</v>
      </c>
      <c r="AC56" s="261">
        <v>98133152</v>
      </c>
      <c r="AD56" s="261">
        <v>0</v>
      </c>
      <c r="AE56" s="261">
        <v>250000000</v>
      </c>
      <c r="AF56" s="261">
        <v>734544101</v>
      </c>
      <c r="AG56" s="261">
        <v>0</v>
      </c>
      <c r="AH56" s="261">
        <v>984544101</v>
      </c>
      <c r="AI56" s="261">
        <v>0</v>
      </c>
      <c r="AJ56" s="261">
        <v>98133152</v>
      </c>
      <c r="AK56" s="261">
        <v>0</v>
      </c>
      <c r="AL56" s="261">
        <v>0</v>
      </c>
      <c r="AM56" s="261">
        <v>984544101</v>
      </c>
      <c r="AN56" s="261">
        <v>984544101</v>
      </c>
      <c r="AO56" s="261">
        <v>734544101</v>
      </c>
      <c r="AP56" s="261">
        <v>98133152</v>
      </c>
      <c r="AQ56" s="261"/>
      <c r="AS56" s="261"/>
    </row>
    <row r="57" spans="1:45" x14ac:dyDescent="0.25">
      <c r="A57" s="2" t="s">
        <v>90</v>
      </c>
      <c r="B57" s="259" t="s">
        <v>91</v>
      </c>
      <c r="C57" s="261">
        <v>36750000</v>
      </c>
      <c r="D57" s="261">
        <v>0</v>
      </c>
      <c r="E57" s="261">
        <v>0</v>
      </c>
      <c r="F57" s="261">
        <v>0</v>
      </c>
      <c r="G57" s="261">
        <f t="shared" si="37"/>
        <v>36750000</v>
      </c>
      <c r="H57" s="261">
        <v>0</v>
      </c>
      <c r="I57" s="261">
        <v>0</v>
      </c>
      <c r="J57" s="261">
        <f t="shared" si="2"/>
        <v>36750000</v>
      </c>
      <c r="K57" s="261">
        <v>0</v>
      </c>
      <c r="L57" s="261">
        <v>0</v>
      </c>
      <c r="M57" s="261">
        <f t="shared" si="11"/>
        <v>0</v>
      </c>
      <c r="N57" s="261">
        <v>0</v>
      </c>
      <c r="O57" s="261">
        <v>0</v>
      </c>
      <c r="P57" s="261">
        <f t="shared" si="12"/>
        <v>0</v>
      </c>
      <c r="Q57" s="177">
        <f t="shared" si="3"/>
        <v>36750000</v>
      </c>
      <c r="R57" s="261">
        <f t="shared" si="13"/>
        <v>0</v>
      </c>
      <c r="T57" s="183" t="s">
        <v>90</v>
      </c>
      <c r="U57" s="259" t="s">
        <v>91</v>
      </c>
      <c r="V57" s="261">
        <v>36750000</v>
      </c>
      <c r="W57" s="261">
        <v>0</v>
      </c>
      <c r="X57" s="261">
        <v>0</v>
      </c>
      <c r="Y57" s="261">
        <v>0</v>
      </c>
      <c r="Z57" s="261">
        <v>36750000</v>
      </c>
      <c r="AA57" s="261">
        <v>0</v>
      </c>
      <c r="AB57" s="261">
        <v>0</v>
      </c>
      <c r="AC57" s="261">
        <v>36750000</v>
      </c>
      <c r="AD57" s="261">
        <v>0</v>
      </c>
      <c r="AE57" s="261">
        <v>0</v>
      </c>
      <c r="AF57" s="261">
        <v>0</v>
      </c>
      <c r="AG57" s="261">
        <v>0</v>
      </c>
      <c r="AH57" s="261">
        <v>0</v>
      </c>
      <c r="AI57" s="261">
        <v>0</v>
      </c>
      <c r="AJ57" s="261">
        <v>36750000</v>
      </c>
      <c r="AK57" s="261">
        <v>0</v>
      </c>
      <c r="AL57" s="261">
        <v>0</v>
      </c>
      <c r="AM57" s="261">
        <v>0</v>
      </c>
      <c r="AN57" s="261">
        <v>0</v>
      </c>
      <c r="AO57" s="261">
        <v>0</v>
      </c>
      <c r="AP57" s="261">
        <v>36750000</v>
      </c>
      <c r="AQ57" s="261"/>
      <c r="AS57" s="261"/>
    </row>
    <row r="58" spans="1:45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 t="shared" ref="D58:R58" si="38">+D59+D61+D63+D65+D67+D69</f>
        <v>0</v>
      </c>
      <c r="E58" s="6">
        <f t="shared" si="38"/>
        <v>0</v>
      </c>
      <c r="F58" s="6">
        <f t="shared" si="38"/>
        <v>0</v>
      </c>
      <c r="G58" s="6">
        <f t="shared" si="38"/>
        <v>7165869263</v>
      </c>
      <c r="H58" s="6">
        <f t="shared" si="38"/>
        <v>4217034866</v>
      </c>
      <c r="I58" s="6">
        <f t="shared" si="38"/>
        <v>6614110718</v>
      </c>
      <c r="J58" s="6">
        <f t="shared" si="2"/>
        <v>551758545</v>
      </c>
      <c r="K58" s="6">
        <f t="shared" si="38"/>
        <v>1065000000</v>
      </c>
      <c r="L58" s="6">
        <f t="shared" si="38"/>
        <v>2661286240</v>
      </c>
      <c r="M58" s="6">
        <f t="shared" si="38"/>
        <v>3952824478</v>
      </c>
      <c r="N58" s="6">
        <f t="shared" si="38"/>
        <v>59725900</v>
      </c>
      <c r="O58" s="6">
        <f t="shared" si="38"/>
        <v>6614937249</v>
      </c>
      <c r="P58" s="6">
        <f t="shared" si="38"/>
        <v>826531</v>
      </c>
      <c r="Q58" s="6">
        <f t="shared" si="3"/>
        <v>550932014</v>
      </c>
      <c r="R58" s="6">
        <f t="shared" si="38"/>
        <v>2661286240</v>
      </c>
      <c r="T58" s="183" t="s">
        <v>92</v>
      </c>
      <c r="U58" s="259" t="s">
        <v>40</v>
      </c>
      <c r="V58" s="261">
        <v>7165869263</v>
      </c>
      <c r="W58" s="261">
        <v>0</v>
      </c>
      <c r="X58" s="261">
        <v>0</v>
      </c>
      <c r="Y58" s="261">
        <v>0</v>
      </c>
      <c r="Z58" s="261">
        <v>7165869263</v>
      </c>
      <c r="AA58" s="261">
        <v>4217034866</v>
      </c>
      <c r="AB58" s="261">
        <v>6614110718</v>
      </c>
      <c r="AC58" s="261">
        <v>551758545</v>
      </c>
      <c r="AD58" s="261">
        <v>1065000000</v>
      </c>
      <c r="AE58" s="261">
        <v>2661286240</v>
      </c>
      <c r="AF58" s="261">
        <v>3952824478</v>
      </c>
      <c r="AG58" s="261">
        <v>59725900</v>
      </c>
      <c r="AH58" s="261">
        <v>6614937249</v>
      </c>
      <c r="AI58" s="261">
        <v>826531</v>
      </c>
      <c r="AJ58" s="261">
        <v>550932014</v>
      </c>
      <c r="AK58" s="261">
        <v>0</v>
      </c>
      <c r="AL58" s="261">
        <v>57968500</v>
      </c>
      <c r="AM58" s="261">
        <v>6613179849</v>
      </c>
      <c r="AN58" s="261">
        <v>6613179849</v>
      </c>
      <c r="AO58" s="261">
        <v>4158135497</v>
      </c>
      <c r="AP58" s="261">
        <v>552689414</v>
      </c>
      <c r="AQ58" s="6"/>
      <c r="AS58" s="6"/>
    </row>
    <row r="59" spans="1:45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 t="shared" ref="D59:R59" si="39">+D60</f>
        <v>0</v>
      </c>
      <c r="E59" s="9">
        <f t="shared" si="39"/>
        <v>0</v>
      </c>
      <c r="F59" s="9">
        <f t="shared" si="39"/>
        <v>0</v>
      </c>
      <c r="G59" s="9">
        <f t="shared" si="39"/>
        <v>1748410868</v>
      </c>
      <c r="H59" s="9">
        <f t="shared" si="39"/>
        <v>1007755004</v>
      </c>
      <c r="I59" s="9">
        <f t="shared" si="39"/>
        <v>1654098124</v>
      </c>
      <c r="J59" s="9">
        <f t="shared" si="2"/>
        <v>94312744</v>
      </c>
      <c r="K59" s="9">
        <f t="shared" si="39"/>
        <v>305000000</v>
      </c>
      <c r="L59" s="9">
        <f t="shared" si="39"/>
        <v>761343120</v>
      </c>
      <c r="M59" s="9">
        <f t="shared" si="39"/>
        <v>892755004</v>
      </c>
      <c r="N59" s="9">
        <f t="shared" si="39"/>
        <v>0</v>
      </c>
      <c r="O59" s="9">
        <f t="shared" si="39"/>
        <v>1654098124</v>
      </c>
      <c r="P59" s="9">
        <f t="shared" si="39"/>
        <v>0</v>
      </c>
      <c r="Q59" s="9">
        <f t="shared" si="3"/>
        <v>94312744</v>
      </c>
      <c r="R59" s="9">
        <f t="shared" si="39"/>
        <v>761343120</v>
      </c>
      <c r="T59" s="183" t="s">
        <v>93</v>
      </c>
      <c r="U59" s="259" t="s">
        <v>42</v>
      </c>
      <c r="V59" s="261">
        <v>1748410868</v>
      </c>
      <c r="W59" s="261">
        <v>0</v>
      </c>
      <c r="X59" s="261">
        <v>0</v>
      </c>
      <c r="Y59" s="261">
        <v>0</v>
      </c>
      <c r="Z59" s="261">
        <v>1748410868</v>
      </c>
      <c r="AA59" s="261">
        <v>1007755004</v>
      </c>
      <c r="AB59" s="261">
        <v>1654098124</v>
      </c>
      <c r="AC59" s="261">
        <v>94312744</v>
      </c>
      <c r="AD59" s="261">
        <v>305000000</v>
      </c>
      <c r="AE59" s="261">
        <v>761343120</v>
      </c>
      <c r="AF59" s="261">
        <v>892755004</v>
      </c>
      <c r="AG59" s="261">
        <v>0</v>
      </c>
      <c r="AH59" s="261">
        <v>1654098124</v>
      </c>
      <c r="AI59" s="261">
        <v>0</v>
      </c>
      <c r="AJ59" s="261">
        <v>94312744</v>
      </c>
      <c r="AK59" s="261">
        <v>0</v>
      </c>
      <c r="AL59" s="261">
        <v>0</v>
      </c>
      <c r="AM59" s="261">
        <v>1654098124</v>
      </c>
      <c r="AN59" s="261">
        <v>1654098124</v>
      </c>
      <c r="AO59" s="261">
        <v>1007755004</v>
      </c>
      <c r="AP59" s="261">
        <v>94312744</v>
      </c>
      <c r="AQ59" s="9"/>
      <c r="AS59" s="9"/>
    </row>
    <row r="60" spans="1:45" x14ac:dyDescent="0.25">
      <c r="A60" s="2" t="s">
        <v>94</v>
      </c>
      <c r="B60" s="259" t="s">
        <v>42</v>
      </c>
      <c r="C60" s="261">
        <v>1748410868</v>
      </c>
      <c r="D60" s="261">
        <v>0</v>
      </c>
      <c r="E60" s="261">
        <v>0</v>
      </c>
      <c r="F60" s="261">
        <v>0</v>
      </c>
      <c r="G60" s="261">
        <f>+C60+D60-E60+F60</f>
        <v>1748410868</v>
      </c>
      <c r="H60" s="261">
        <v>1007755004</v>
      </c>
      <c r="I60" s="261">
        <v>1654098124</v>
      </c>
      <c r="J60" s="261">
        <f t="shared" si="2"/>
        <v>94312744</v>
      </c>
      <c r="K60" s="261">
        <v>305000000</v>
      </c>
      <c r="L60" s="261">
        <v>761343120</v>
      </c>
      <c r="M60" s="261">
        <f t="shared" si="11"/>
        <v>892755004</v>
      </c>
      <c r="N60" s="261">
        <v>0</v>
      </c>
      <c r="O60" s="261">
        <v>1654098124</v>
      </c>
      <c r="P60" s="261">
        <f t="shared" si="12"/>
        <v>0</v>
      </c>
      <c r="Q60" s="177">
        <f t="shared" si="3"/>
        <v>94312744</v>
      </c>
      <c r="R60" s="261">
        <f t="shared" si="13"/>
        <v>761343120</v>
      </c>
      <c r="T60" s="183" t="s">
        <v>94</v>
      </c>
      <c r="U60" s="259" t="s">
        <v>42</v>
      </c>
      <c r="V60" s="261">
        <v>1748410868</v>
      </c>
      <c r="W60" s="261">
        <v>0</v>
      </c>
      <c r="X60" s="261">
        <v>0</v>
      </c>
      <c r="Y60" s="261">
        <v>0</v>
      </c>
      <c r="Z60" s="261">
        <v>1748410868</v>
      </c>
      <c r="AA60" s="261">
        <v>1007755004</v>
      </c>
      <c r="AB60" s="261">
        <v>1654098124</v>
      </c>
      <c r="AC60" s="261">
        <v>94312744</v>
      </c>
      <c r="AD60" s="261">
        <v>305000000</v>
      </c>
      <c r="AE60" s="261">
        <v>761343120</v>
      </c>
      <c r="AF60" s="261">
        <v>892755004</v>
      </c>
      <c r="AG60" s="261">
        <v>0</v>
      </c>
      <c r="AH60" s="261">
        <v>1654098124</v>
      </c>
      <c r="AI60" s="261">
        <v>0</v>
      </c>
      <c r="AJ60" s="261">
        <v>94312744</v>
      </c>
      <c r="AK60" s="261">
        <v>0</v>
      </c>
      <c r="AL60" s="261">
        <v>0</v>
      </c>
      <c r="AM60" s="261">
        <v>1654098124</v>
      </c>
      <c r="AN60" s="261">
        <v>1654098124</v>
      </c>
      <c r="AO60" s="261">
        <v>1007755004</v>
      </c>
      <c r="AP60" s="261">
        <v>94312744</v>
      </c>
      <c r="AQ60" s="261"/>
      <c r="AS60" s="261"/>
    </row>
    <row r="61" spans="1:45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 t="shared" ref="D61:R61" si="40">+D62</f>
        <v>0</v>
      </c>
      <c r="E61" s="9">
        <f t="shared" si="40"/>
        <v>0</v>
      </c>
      <c r="F61" s="9">
        <f t="shared" si="40"/>
        <v>0</v>
      </c>
      <c r="G61" s="9">
        <f t="shared" si="40"/>
        <v>1139920238</v>
      </c>
      <c r="H61" s="9">
        <f t="shared" si="40"/>
        <v>399264374</v>
      </c>
      <c r="I61" s="9">
        <f t="shared" si="40"/>
        <v>1045607494</v>
      </c>
      <c r="J61" s="9">
        <f t="shared" si="2"/>
        <v>94312744</v>
      </c>
      <c r="K61" s="9">
        <f t="shared" si="40"/>
        <v>95000000</v>
      </c>
      <c r="L61" s="9">
        <f t="shared" si="40"/>
        <v>551343120</v>
      </c>
      <c r="M61" s="9">
        <f t="shared" si="40"/>
        <v>494264374</v>
      </c>
      <c r="N61" s="9">
        <f t="shared" si="40"/>
        <v>0</v>
      </c>
      <c r="O61" s="9">
        <f t="shared" si="40"/>
        <v>1045607494</v>
      </c>
      <c r="P61" s="9">
        <f t="shared" si="40"/>
        <v>0</v>
      </c>
      <c r="Q61" s="9">
        <f t="shared" si="3"/>
        <v>94312744</v>
      </c>
      <c r="R61" s="9">
        <f t="shared" si="40"/>
        <v>551343120</v>
      </c>
      <c r="T61" s="183" t="s">
        <v>95</v>
      </c>
      <c r="U61" s="259" t="s">
        <v>45</v>
      </c>
      <c r="V61" s="261">
        <v>1139920238</v>
      </c>
      <c r="W61" s="261">
        <v>0</v>
      </c>
      <c r="X61" s="261">
        <v>0</v>
      </c>
      <c r="Y61" s="261">
        <v>0</v>
      </c>
      <c r="Z61" s="261">
        <v>1139920238</v>
      </c>
      <c r="AA61" s="261">
        <v>399264374</v>
      </c>
      <c r="AB61" s="261">
        <v>1045607494</v>
      </c>
      <c r="AC61" s="261">
        <v>94312744</v>
      </c>
      <c r="AD61" s="261">
        <v>95000000</v>
      </c>
      <c r="AE61" s="261">
        <v>551343120</v>
      </c>
      <c r="AF61" s="261">
        <v>494264374</v>
      </c>
      <c r="AG61" s="261">
        <v>0</v>
      </c>
      <c r="AH61" s="261">
        <v>1045607494</v>
      </c>
      <c r="AI61" s="261">
        <v>0</v>
      </c>
      <c r="AJ61" s="261">
        <v>94312744</v>
      </c>
      <c r="AK61" s="261">
        <v>0</v>
      </c>
      <c r="AL61" s="261">
        <v>0</v>
      </c>
      <c r="AM61" s="261">
        <v>1045607494</v>
      </c>
      <c r="AN61" s="261">
        <v>1045607494</v>
      </c>
      <c r="AO61" s="261">
        <v>399264374</v>
      </c>
      <c r="AP61" s="261">
        <v>94312744</v>
      </c>
      <c r="AQ61" s="9"/>
      <c r="AS61" s="9"/>
    </row>
    <row r="62" spans="1:45" x14ac:dyDescent="0.25">
      <c r="A62" s="2" t="s">
        <v>96</v>
      </c>
      <c r="B62" s="259" t="s">
        <v>45</v>
      </c>
      <c r="C62" s="261">
        <v>1139920238</v>
      </c>
      <c r="D62" s="261">
        <v>0</v>
      </c>
      <c r="E62" s="261">
        <v>0</v>
      </c>
      <c r="F62" s="261">
        <v>0</v>
      </c>
      <c r="G62" s="261">
        <f>+C62+D62-E62+F62</f>
        <v>1139920238</v>
      </c>
      <c r="H62" s="261">
        <v>399264374</v>
      </c>
      <c r="I62" s="261">
        <v>1045607494</v>
      </c>
      <c r="J62" s="261">
        <f t="shared" si="2"/>
        <v>94312744</v>
      </c>
      <c r="K62" s="261">
        <v>95000000</v>
      </c>
      <c r="L62" s="261">
        <v>551343120</v>
      </c>
      <c r="M62" s="261">
        <f t="shared" si="11"/>
        <v>494264374</v>
      </c>
      <c r="N62" s="261">
        <v>0</v>
      </c>
      <c r="O62" s="261">
        <v>1045607494</v>
      </c>
      <c r="P62" s="261">
        <f t="shared" si="12"/>
        <v>0</v>
      </c>
      <c r="Q62" s="177">
        <f t="shared" si="3"/>
        <v>94312744</v>
      </c>
      <c r="R62" s="261">
        <f t="shared" si="13"/>
        <v>551343120</v>
      </c>
      <c r="T62" s="183" t="s">
        <v>96</v>
      </c>
      <c r="U62" s="259" t="s">
        <v>45</v>
      </c>
      <c r="V62" s="261">
        <v>1139920238</v>
      </c>
      <c r="W62" s="261">
        <v>0</v>
      </c>
      <c r="X62" s="261">
        <v>0</v>
      </c>
      <c r="Y62" s="261">
        <v>0</v>
      </c>
      <c r="Z62" s="261">
        <v>1139920238</v>
      </c>
      <c r="AA62" s="261">
        <v>399264374</v>
      </c>
      <c r="AB62" s="261">
        <v>1045607494</v>
      </c>
      <c r="AC62" s="261">
        <v>94312744</v>
      </c>
      <c r="AD62" s="261">
        <v>95000000</v>
      </c>
      <c r="AE62" s="261">
        <v>551343120</v>
      </c>
      <c r="AF62" s="261">
        <v>494264374</v>
      </c>
      <c r="AG62" s="261">
        <v>0</v>
      </c>
      <c r="AH62" s="261">
        <v>1045607494</v>
      </c>
      <c r="AI62" s="261">
        <v>0</v>
      </c>
      <c r="AJ62" s="261">
        <v>94312744</v>
      </c>
      <c r="AK62" s="261">
        <v>0</v>
      </c>
      <c r="AL62" s="261">
        <v>0</v>
      </c>
      <c r="AM62" s="261">
        <v>1045607494</v>
      </c>
      <c r="AN62" s="261">
        <v>1045607494</v>
      </c>
      <c r="AO62" s="261">
        <v>399264374</v>
      </c>
      <c r="AP62" s="261">
        <v>94312744</v>
      </c>
      <c r="AQ62" s="261"/>
      <c r="AS62" s="261"/>
    </row>
    <row r="63" spans="1:45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 t="shared" ref="D63:R63" si="41">+D64</f>
        <v>0</v>
      </c>
      <c r="E63" s="9">
        <f t="shared" si="41"/>
        <v>0</v>
      </c>
      <c r="F63" s="9">
        <f t="shared" si="41"/>
        <v>0</v>
      </c>
      <c r="G63" s="9">
        <f t="shared" si="41"/>
        <v>1735544970</v>
      </c>
      <c r="H63" s="9">
        <f t="shared" si="41"/>
        <v>1143862522</v>
      </c>
      <c r="I63" s="9">
        <f t="shared" si="41"/>
        <v>1652462522</v>
      </c>
      <c r="J63" s="9">
        <f t="shared" si="2"/>
        <v>83082448</v>
      </c>
      <c r="K63" s="9">
        <f t="shared" si="41"/>
        <v>290000000</v>
      </c>
      <c r="L63" s="9">
        <f t="shared" si="41"/>
        <v>798600000</v>
      </c>
      <c r="M63" s="9">
        <f t="shared" si="41"/>
        <v>853862522</v>
      </c>
      <c r="N63" s="9">
        <f t="shared" si="41"/>
        <v>0</v>
      </c>
      <c r="O63" s="9">
        <f t="shared" si="41"/>
        <v>1652462522</v>
      </c>
      <c r="P63" s="9">
        <f t="shared" si="41"/>
        <v>0</v>
      </c>
      <c r="Q63" s="9">
        <f t="shared" si="3"/>
        <v>83082448</v>
      </c>
      <c r="R63" s="9">
        <f t="shared" si="41"/>
        <v>798600000</v>
      </c>
      <c r="T63" s="183" t="s">
        <v>97</v>
      </c>
      <c r="U63" s="259" t="s">
        <v>48</v>
      </c>
      <c r="V63" s="261">
        <v>1735544970</v>
      </c>
      <c r="W63" s="261">
        <v>0</v>
      </c>
      <c r="X63" s="261">
        <v>0</v>
      </c>
      <c r="Y63" s="261">
        <v>0</v>
      </c>
      <c r="Z63" s="261">
        <v>1735544970</v>
      </c>
      <c r="AA63" s="261">
        <v>1143862522</v>
      </c>
      <c r="AB63" s="261">
        <v>1652462522</v>
      </c>
      <c r="AC63" s="261">
        <v>83082448</v>
      </c>
      <c r="AD63" s="261">
        <v>290000000</v>
      </c>
      <c r="AE63" s="261">
        <v>798600000</v>
      </c>
      <c r="AF63" s="261">
        <v>853862522</v>
      </c>
      <c r="AG63" s="261">
        <v>0</v>
      </c>
      <c r="AH63" s="261">
        <v>1652462522</v>
      </c>
      <c r="AI63" s="261">
        <v>0</v>
      </c>
      <c r="AJ63" s="261">
        <v>83082448</v>
      </c>
      <c r="AK63" s="261">
        <v>0</v>
      </c>
      <c r="AL63" s="261">
        <v>0</v>
      </c>
      <c r="AM63" s="261">
        <v>1652462522</v>
      </c>
      <c r="AN63" s="261">
        <v>1652462522</v>
      </c>
      <c r="AO63" s="261">
        <v>1143862522</v>
      </c>
      <c r="AP63" s="261">
        <v>83082448</v>
      </c>
      <c r="AQ63" s="9"/>
      <c r="AS63" s="9"/>
    </row>
    <row r="64" spans="1:45" x14ac:dyDescent="0.25">
      <c r="A64" s="2" t="s">
        <v>98</v>
      </c>
      <c r="B64" s="259" t="s">
        <v>48</v>
      </c>
      <c r="C64" s="261">
        <v>1735544970</v>
      </c>
      <c r="D64" s="261">
        <v>0</v>
      </c>
      <c r="E64" s="261">
        <v>0</v>
      </c>
      <c r="F64" s="261">
        <v>0</v>
      </c>
      <c r="G64" s="261">
        <f>+C64+D64-E64+F64</f>
        <v>1735544970</v>
      </c>
      <c r="H64" s="261">
        <v>1143862522</v>
      </c>
      <c r="I64" s="261">
        <v>1652462522</v>
      </c>
      <c r="J64" s="261">
        <f t="shared" si="2"/>
        <v>83082448</v>
      </c>
      <c r="K64" s="261">
        <v>290000000</v>
      </c>
      <c r="L64" s="261">
        <v>798600000</v>
      </c>
      <c r="M64" s="261">
        <f t="shared" si="11"/>
        <v>853862522</v>
      </c>
      <c r="N64" s="261">
        <v>0</v>
      </c>
      <c r="O64" s="261">
        <v>1652462522</v>
      </c>
      <c r="P64" s="261">
        <f t="shared" si="12"/>
        <v>0</v>
      </c>
      <c r="Q64" s="177">
        <f t="shared" si="3"/>
        <v>83082448</v>
      </c>
      <c r="R64" s="261">
        <f t="shared" si="13"/>
        <v>798600000</v>
      </c>
      <c r="T64" s="183" t="s">
        <v>98</v>
      </c>
      <c r="U64" s="259" t="s">
        <v>48</v>
      </c>
      <c r="V64" s="261">
        <v>1735544970</v>
      </c>
      <c r="W64" s="261">
        <v>0</v>
      </c>
      <c r="X64" s="261">
        <v>0</v>
      </c>
      <c r="Y64" s="261">
        <v>0</v>
      </c>
      <c r="Z64" s="261">
        <v>1735544970</v>
      </c>
      <c r="AA64" s="261">
        <v>1143862522</v>
      </c>
      <c r="AB64" s="261">
        <v>1652462522</v>
      </c>
      <c r="AC64" s="261">
        <v>83082448</v>
      </c>
      <c r="AD64" s="261">
        <v>290000000</v>
      </c>
      <c r="AE64" s="261">
        <v>798600000</v>
      </c>
      <c r="AF64" s="261">
        <v>853862522</v>
      </c>
      <c r="AG64" s="261">
        <v>0</v>
      </c>
      <c r="AH64" s="261">
        <v>1652462522</v>
      </c>
      <c r="AI64" s="261">
        <v>0</v>
      </c>
      <c r="AJ64" s="261">
        <v>83082448</v>
      </c>
      <c r="AK64" s="261">
        <v>0</v>
      </c>
      <c r="AL64" s="261">
        <v>0</v>
      </c>
      <c r="AM64" s="261">
        <v>1652462522</v>
      </c>
      <c r="AN64" s="261">
        <v>1652462522</v>
      </c>
      <c r="AO64" s="261">
        <v>1143862522</v>
      </c>
      <c r="AP64" s="261">
        <v>83082448</v>
      </c>
      <c r="AQ64" s="261"/>
      <c r="AS64" s="261"/>
    </row>
    <row r="65" spans="1:45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 t="shared" ref="D65:R65" si="42">+D66</f>
        <v>0</v>
      </c>
      <c r="E65" s="9">
        <f t="shared" si="42"/>
        <v>0</v>
      </c>
      <c r="F65" s="9">
        <f t="shared" si="42"/>
        <v>0</v>
      </c>
      <c r="G65" s="9">
        <f t="shared" si="42"/>
        <v>935566121</v>
      </c>
      <c r="H65" s="9">
        <f t="shared" si="42"/>
        <v>685566121</v>
      </c>
      <c r="I65" s="9">
        <f t="shared" si="42"/>
        <v>935566121</v>
      </c>
      <c r="J65" s="9">
        <f t="shared" si="2"/>
        <v>0</v>
      </c>
      <c r="K65" s="9">
        <f t="shared" si="42"/>
        <v>170000000</v>
      </c>
      <c r="L65" s="9">
        <f t="shared" si="42"/>
        <v>260000000</v>
      </c>
      <c r="M65" s="9">
        <f t="shared" si="42"/>
        <v>675566121</v>
      </c>
      <c r="N65" s="9">
        <f t="shared" si="42"/>
        <v>0</v>
      </c>
      <c r="O65" s="9">
        <f t="shared" si="42"/>
        <v>935566121</v>
      </c>
      <c r="P65" s="9">
        <f t="shared" si="42"/>
        <v>0</v>
      </c>
      <c r="Q65" s="9">
        <f t="shared" si="3"/>
        <v>0</v>
      </c>
      <c r="R65" s="9">
        <f t="shared" si="42"/>
        <v>260000000</v>
      </c>
      <c r="T65" s="183" t="s">
        <v>99</v>
      </c>
      <c r="U65" s="259" t="s">
        <v>51</v>
      </c>
      <c r="V65" s="261">
        <v>935566121</v>
      </c>
      <c r="W65" s="261">
        <v>0</v>
      </c>
      <c r="X65" s="261">
        <v>0</v>
      </c>
      <c r="Y65" s="261">
        <v>0</v>
      </c>
      <c r="Z65" s="261">
        <v>935566121</v>
      </c>
      <c r="AA65" s="261">
        <v>685566121</v>
      </c>
      <c r="AB65" s="261">
        <v>935566121</v>
      </c>
      <c r="AC65" s="261">
        <v>0</v>
      </c>
      <c r="AD65" s="261">
        <v>170000000</v>
      </c>
      <c r="AE65" s="261">
        <v>260000000</v>
      </c>
      <c r="AF65" s="261">
        <v>675566121</v>
      </c>
      <c r="AG65" s="261">
        <v>0</v>
      </c>
      <c r="AH65" s="261">
        <v>935566121</v>
      </c>
      <c r="AI65" s="261">
        <v>0</v>
      </c>
      <c r="AJ65" s="261">
        <v>0</v>
      </c>
      <c r="AK65" s="261">
        <v>0</v>
      </c>
      <c r="AL65" s="261">
        <v>0</v>
      </c>
      <c r="AM65" s="261">
        <v>935566121</v>
      </c>
      <c r="AN65" s="261">
        <v>935566121</v>
      </c>
      <c r="AO65" s="261">
        <v>685566121</v>
      </c>
      <c r="AP65" s="261">
        <v>0</v>
      </c>
      <c r="AQ65" s="9"/>
      <c r="AS65" s="9"/>
    </row>
    <row r="66" spans="1:45" x14ac:dyDescent="0.25">
      <c r="A66" s="2" t="s">
        <v>100</v>
      </c>
      <c r="B66" s="259" t="s">
        <v>51</v>
      </c>
      <c r="C66" s="261">
        <v>935566121</v>
      </c>
      <c r="D66" s="261">
        <v>0</v>
      </c>
      <c r="E66" s="261">
        <v>0</v>
      </c>
      <c r="F66" s="261">
        <v>0</v>
      </c>
      <c r="G66" s="261">
        <f>+C66+D66-E66+F66</f>
        <v>935566121</v>
      </c>
      <c r="H66" s="261">
        <v>685566121</v>
      </c>
      <c r="I66" s="261">
        <v>935566121</v>
      </c>
      <c r="J66" s="261">
        <f t="shared" si="2"/>
        <v>0</v>
      </c>
      <c r="K66" s="261">
        <v>170000000</v>
      </c>
      <c r="L66" s="261">
        <v>260000000</v>
      </c>
      <c r="M66" s="261">
        <f t="shared" si="11"/>
        <v>675566121</v>
      </c>
      <c r="N66" s="261">
        <v>0</v>
      </c>
      <c r="O66" s="261">
        <v>935566121</v>
      </c>
      <c r="P66" s="261">
        <f t="shared" si="12"/>
        <v>0</v>
      </c>
      <c r="Q66" s="177">
        <f t="shared" si="3"/>
        <v>0</v>
      </c>
      <c r="R66" s="261">
        <f t="shared" si="13"/>
        <v>260000000</v>
      </c>
      <c r="T66" s="183" t="s">
        <v>100</v>
      </c>
      <c r="U66" s="259" t="s">
        <v>51</v>
      </c>
      <c r="V66" s="261">
        <v>935566121</v>
      </c>
      <c r="W66" s="261">
        <v>0</v>
      </c>
      <c r="X66" s="261">
        <v>0</v>
      </c>
      <c r="Y66" s="261">
        <v>0</v>
      </c>
      <c r="Z66" s="261">
        <v>935566121</v>
      </c>
      <c r="AA66" s="261">
        <v>685566121</v>
      </c>
      <c r="AB66" s="261">
        <v>935566121</v>
      </c>
      <c r="AC66" s="261">
        <v>0</v>
      </c>
      <c r="AD66" s="261">
        <v>170000000</v>
      </c>
      <c r="AE66" s="261">
        <v>260000000</v>
      </c>
      <c r="AF66" s="261">
        <v>675566121</v>
      </c>
      <c r="AG66" s="261">
        <v>0</v>
      </c>
      <c r="AH66" s="261">
        <v>935566121</v>
      </c>
      <c r="AI66" s="261">
        <v>0</v>
      </c>
      <c r="AJ66" s="261">
        <v>0</v>
      </c>
      <c r="AK66" s="261">
        <v>0</v>
      </c>
      <c r="AL66" s="261">
        <v>0</v>
      </c>
      <c r="AM66" s="261">
        <v>935566121</v>
      </c>
      <c r="AN66" s="261">
        <v>935566121</v>
      </c>
      <c r="AO66" s="261">
        <v>685566121</v>
      </c>
      <c r="AP66" s="261">
        <v>0</v>
      </c>
      <c r="AQ66" s="261"/>
      <c r="AS66" s="261"/>
    </row>
    <row r="67" spans="1:45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 t="shared" ref="D67:R67" si="43">+D68</f>
        <v>0</v>
      </c>
      <c r="E67" s="9">
        <f t="shared" si="43"/>
        <v>0</v>
      </c>
      <c r="F67" s="9">
        <f t="shared" si="43"/>
        <v>0</v>
      </c>
      <c r="G67" s="9">
        <f t="shared" si="43"/>
        <v>935566121</v>
      </c>
      <c r="H67" s="9">
        <f t="shared" si="43"/>
        <v>559725900</v>
      </c>
      <c r="I67" s="9">
        <f t="shared" si="43"/>
        <v>655515512</v>
      </c>
      <c r="J67" s="9">
        <f t="shared" si="2"/>
        <v>280050609</v>
      </c>
      <c r="K67" s="9">
        <f t="shared" si="43"/>
        <v>110000000</v>
      </c>
      <c r="L67" s="9">
        <f t="shared" si="43"/>
        <v>110000000</v>
      </c>
      <c r="M67" s="9">
        <f t="shared" si="43"/>
        <v>545515512</v>
      </c>
      <c r="N67" s="9">
        <f t="shared" si="43"/>
        <v>59725900</v>
      </c>
      <c r="O67" s="9">
        <f t="shared" si="43"/>
        <v>656342043</v>
      </c>
      <c r="P67" s="9">
        <f t="shared" si="43"/>
        <v>826531</v>
      </c>
      <c r="Q67" s="9">
        <f t="shared" si="3"/>
        <v>279224078</v>
      </c>
      <c r="R67" s="9">
        <f t="shared" si="43"/>
        <v>110000000</v>
      </c>
      <c r="T67" s="183" t="s">
        <v>101</v>
      </c>
      <c r="U67" s="259" t="s">
        <v>54</v>
      </c>
      <c r="V67" s="261">
        <v>935566121</v>
      </c>
      <c r="W67" s="261">
        <v>0</v>
      </c>
      <c r="X67" s="261">
        <v>0</v>
      </c>
      <c r="Y67" s="261">
        <v>0</v>
      </c>
      <c r="Z67" s="261">
        <v>935566121</v>
      </c>
      <c r="AA67" s="261">
        <v>559725900</v>
      </c>
      <c r="AB67" s="261">
        <v>655515512</v>
      </c>
      <c r="AC67" s="261">
        <v>280050609</v>
      </c>
      <c r="AD67" s="261">
        <v>110000000</v>
      </c>
      <c r="AE67" s="261">
        <v>110000000</v>
      </c>
      <c r="AF67" s="261">
        <v>545515512</v>
      </c>
      <c r="AG67" s="261">
        <v>59725900</v>
      </c>
      <c r="AH67" s="261">
        <v>656342043</v>
      </c>
      <c r="AI67" s="261">
        <v>826531</v>
      </c>
      <c r="AJ67" s="261">
        <v>279224078</v>
      </c>
      <c r="AK67" s="261">
        <v>0</v>
      </c>
      <c r="AL67" s="261">
        <v>57968500</v>
      </c>
      <c r="AM67" s="261">
        <v>654584643</v>
      </c>
      <c r="AN67" s="261">
        <v>654584643</v>
      </c>
      <c r="AO67" s="261">
        <v>500826531</v>
      </c>
      <c r="AP67" s="261">
        <v>280981478</v>
      </c>
      <c r="AQ67" s="9"/>
      <c r="AS67" s="9"/>
    </row>
    <row r="68" spans="1:45" x14ac:dyDescent="0.25">
      <c r="A68" s="2" t="s">
        <v>102</v>
      </c>
      <c r="B68" s="259" t="s">
        <v>54</v>
      </c>
      <c r="C68" s="261">
        <v>935566121</v>
      </c>
      <c r="D68" s="261">
        <v>0</v>
      </c>
      <c r="E68" s="261">
        <v>0</v>
      </c>
      <c r="F68" s="261">
        <v>0</v>
      </c>
      <c r="G68" s="261">
        <f>+C68+D68-E68+F68</f>
        <v>935566121</v>
      </c>
      <c r="H68" s="261">
        <v>559725900</v>
      </c>
      <c r="I68" s="261">
        <v>655515512</v>
      </c>
      <c r="J68" s="261">
        <f t="shared" si="2"/>
        <v>280050609</v>
      </c>
      <c r="K68" s="261">
        <v>110000000</v>
      </c>
      <c r="L68" s="261">
        <v>110000000</v>
      </c>
      <c r="M68" s="261">
        <f t="shared" si="11"/>
        <v>545515512</v>
      </c>
      <c r="N68" s="261">
        <v>59725900</v>
      </c>
      <c r="O68" s="261">
        <v>656342043</v>
      </c>
      <c r="P68" s="261">
        <f t="shared" si="12"/>
        <v>826531</v>
      </c>
      <c r="Q68" s="177">
        <f t="shared" si="3"/>
        <v>279224078</v>
      </c>
      <c r="R68" s="261">
        <f t="shared" si="13"/>
        <v>110000000</v>
      </c>
      <c r="T68" s="183" t="s">
        <v>102</v>
      </c>
      <c r="U68" s="259" t="s">
        <v>54</v>
      </c>
      <c r="V68" s="261">
        <v>935566121</v>
      </c>
      <c r="W68" s="261">
        <v>0</v>
      </c>
      <c r="X68" s="261">
        <v>0</v>
      </c>
      <c r="Y68" s="261">
        <v>0</v>
      </c>
      <c r="Z68" s="261">
        <v>935566121</v>
      </c>
      <c r="AA68" s="261">
        <v>559725900</v>
      </c>
      <c r="AB68" s="261">
        <v>655515512</v>
      </c>
      <c r="AC68" s="261">
        <v>280050609</v>
      </c>
      <c r="AD68" s="261">
        <v>110000000</v>
      </c>
      <c r="AE68" s="261">
        <v>110000000</v>
      </c>
      <c r="AF68" s="261">
        <v>545515512</v>
      </c>
      <c r="AG68" s="261">
        <v>59725900</v>
      </c>
      <c r="AH68" s="261">
        <v>656342043</v>
      </c>
      <c r="AI68" s="261">
        <v>826531</v>
      </c>
      <c r="AJ68" s="261">
        <v>279224078</v>
      </c>
      <c r="AK68" s="261">
        <v>0</v>
      </c>
      <c r="AL68" s="261">
        <v>57968500</v>
      </c>
      <c r="AM68" s="261">
        <v>654584643</v>
      </c>
      <c r="AN68" s="261">
        <v>654584643</v>
      </c>
      <c r="AO68" s="261">
        <v>500826531</v>
      </c>
      <c r="AP68" s="261">
        <v>280981478</v>
      </c>
      <c r="AQ68" s="261"/>
      <c r="AS68" s="261"/>
    </row>
    <row r="69" spans="1:45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 t="shared" ref="D69:R69" si="44">+D70</f>
        <v>0</v>
      </c>
      <c r="E69" s="9">
        <f t="shared" si="44"/>
        <v>0</v>
      </c>
      <c r="F69" s="9">
        <f t="shared" si="44"/>
        <v>0</v>
      </c>
      <c r="G69" s="9">
        <f t="shared" si="44"/>
        <v>670860945</v>
      </c>
      <c r="H69" s="9">
        <f t="shared" si="44"/>
        <v>420860945</v>
      </c>
      <c r="I69" s="9">
        <f t="shared" si="44"/>
        <v>670860945</v>
      </c>
      <c r="J69" s="9">
        <f t="shared" si="2"/>
        <v>0</v>
      </c>
      <c r="K69" s="9">
        <f t="shared" si="44"/>
        <v>95000000</v>
      </c>
      <c r="L69" s="9">
        <f t="shared" si="44"/>
        <v>180000000</v>
      </c>
      <c r="M69" s="9">
        <f t="shared" si="44"/>
        <v>490860945</v>
      </c>
      <c r="N69" s="9">
        <f t="shared" si="44"/>
        <v>0</v>
      </c>
      <c r="O69" s="9">
        <f t="shared" si="44"/>
        <v>670860945</v>
      </c>
      <c r="P69" s="9">
        <f t="shared" si="44"/>
        <v>0</v>
      </c>
      <c r="Q69" s="9">
        <f t="shared" si="3"/>
        <v>0</v>
      </c>
      <c r="R69" s="9">
        <f t="shared" si="44"/>
        <v>180000000</v>
      </c>
      <c r="T69" s="183" t="s">
        <v>103</v>
      </c>
      <c r="U69" s="259" t="s">
        <v>57</v>
      </c>
      <c r="V69" s="261">
        <v>670860945</v>
      </c>
      <c r="W69" s="261">
        <v>0</v>
      </c>
      <c r="X69" s="261">
        <v>0</v>
      </c>
      <c r="Y69" s="261">
        <v>0</v>
      </c>
      <c r="Z69" s="261">
        <v>670860945</v>
      </c>
      <c r="AA69" s="261">
        <v>420860945</v>
      </c>
      <c r="AB69" s="261">
        <v>670860945</v>
      </c>
      <c r="AC69" s="261">
        <v>0</v>
      </c>
      <c r="AD69" s="261">
        <v>95000000</v>
      </c>
      <c r="AE69" s="261">
        <v>180000000</v>
      </c>
      <c r="AF69" s="261">
        <v>490860945</v>
      </c>
      <c r="AG69" s="261">
        <v>0</v>
      </c>
      <c r="AH69" s="261">
        <v>670860945</v>
      </c>
      <c r="AI69" s="261">
        <v>0</v>
      </c>
      <c r="AJ69" s="261">
        <v>0</v>
      </c>
      <c r="AK69" s="261">
        <v>0</v>
      </c>
      <c r="AL69" s="261">
        <v>0</v>
      </c>
      <c r="AM69" s="261">
        <v>670860945</v>
      </c>
      <c r="AN69" s="261">
        <v>670860945</v>
      </c>
      <c r="AO69" s="261">
        <v>420860945</v>
      </c>
      <c r="AP69" s="261">
        <v>0</v>
      </c>
      <c r="AQ69" s="9"/>
      <c r="AS69" s="9"/>
    </row>
    <row r="70" spans="1:45" x14ac:dyDescent="0.25">
      <c r="A70" s="2" t="s">
        <v>104</v>
      </c>
      <c r="B70" s="259" t="s">
        <v>57</v>
      </c>
      <c r="C70" s="261">
        <v>670860945</v>
      </c>
      <c r="D70" s="261">
        <v>0</v>
      </c>
      <c r="E70" s="261">
        <v>0</v>
      </c>
      <c r="F70" s="261">
        <v>0</v>
      </c>
      <c r="G70" s="261">
        <f>+C70+D70-E70+F70</f>
        <v>670860945</v>
      </c>
      <c r="H70" s="261">
        <v>420860945</v>
      </c>
      <c r="I70" s="261">
        <v>670860945</v>
      </c>
      <c r="J70" s="261">
        <f t="shared" si="2"/>
        <v>0</v>
      </c>
      <c r="K70" s="261">
        <v>95000000</v>
      </c>
      <c r="L70" s="261">
        <v>180000000</v>
      </c>
      <c r="M70" s="261">
        <f t="shared" si="11"/>
        <v>490860945</v>
      </c>
      <c r="N70" s="261">
        <v>0</v>
      </c>
      <c r="O70" s="261">
        <v>670860945</v>
      </c>
      <c r="P70" s="261">
        <f t="shared" si="12"/>
        <v>0</v>
      </c>
      <c r="Q70" s="177">
        <f t="shared" si="3"/>
        <v>0</v>
      </c>
      <c r="R70" s="261">
        <f t="shared" si="13"/>
        <v>180000000</v>
      </c>
      <c r="T70" s="183" t="s">
        <v>104</v>
      </c>
      <c r="U70" s="259" t="s">
        <v>57</v>
      </c>
      <c r="V70" s="261">
        <v>670860945</v>
      </c>
      <c r="W70" s="261">
        <v>0</v>
      </c>
      <c r="X70" s="261">
        <v>0</v>
      </c>
      <c r="Y70" s="261">
        <v>0</v>
      </c>
      <c r="Z70" s="261">
        <v>670860945</v>
      </c>
      <c r="AA70" s="261">
        <v>420860945</v>
      </c>
      <c r="AB70" s="261">
        <v>670860945</v>
      </c>
      <c r="AC70" s="261">
        <v>0</v>
      </c>
      <c r="AD70" s="261">
        <v>95000000</v>
      </c>
      <c r="AE70" s="261">
        <v>180000000</v>
      </c>
      <c r="AF70" s="261">
        <v>490860945</v>
      </c>
      <c r="AG70" s="261">
        <v>0</v>
      </c>
      <c r="AH70" s="261">
        <v>670860945</v>
      </c>
      <c r="AI70" s="261">
        <v>0</v>
      </c>
      <c r="AJ70" s="261">
        <v>0</v>
      </c>
      <c r="AK70" s="261">
        <v>0</v>
      </c>
      <c r="AL70" s="261">
        <v>0</v>
      </c>
      <c r="AM70" s="261">
        <v>670860945</v>
      </c>
      <c r="AN70" s="261">
        <v>670860945</v>
      </c>
      <c r="AO70" s="261">
        <v>420860945</v>
      </c>
      <c r="AP70" s="261">
        <v>0</v>
      </c>
      <c r="AQ70" s="261"/>
      <c r="AS70" s="261"/>
    </row>
    <row r="71" spans="1:45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 t="shared" ref="D71:R71" si="45">+D72</f>
        <v>0</v>
      </c>
      <c r="E71" s="6">
        <f t="shared" si="45"/>
        <v>0</v>
      </c>
      <c r="F71" s="6">
        <f t="shared" si="45"/>
        <v>0</v>
      </c>
      <c r="G71" s="6">
        <f t="shared" si="45"/>
        <v>1597146891</v>
      </c>
      <c r="H71" s="6">
        <f t="shared" si="45"/>
        <v>1597146891</v>
      </c>
      <c r="I71" s="6">
        <f t="shared" si="45"/>
        <v>1597146891</v>
      </c>
      <c r="J71" s="6">
        <f t="shared" si="2"/>
        <v>0</v>
      </c>
      <c r="K71" s="6">
        <f t="shared" si="45"/>
        <v>390000000</v>
      </c>
      <c r="L71" s="6">
        <f t="shared" si="45"/>
        <v>390000000</v>
      </c>
      <c r="M71" s="6">
        <f t="shared" si="45"/>
        <v>1207146891</v>
      </c>
      <c r="N71" s="6">
        <f t="shared" si="45"/>
        <v>0</v>
      </c>
      <c r="O71" s="6">
        <f t="shared" si="45"/>
        <v>1597146891</v>
      </c>
      <c r="P71" s="6">
        <f t="shared" si="45"/>
        <v>0</v>
      </c>
      <c r="Q71" s="6">
        <f t="shared" si="3"/>
        <v>0</v>
      </c>
      <c r="R71" s="6">
        <f t="shared" si="45"/>
        <v>390000000</v>
      </c>
      <c r="T71" s="183" t="s">
        <v>105</v>
      </c>
      <c r="U71" s="259" t="s">
        <v>60</v>
      </c>
      <c r="V71" s="261">
        <v>1597146891</v>
      </c>
      <c r="W71" s="261">
        <v>0</v>
      </c>
      <c r="X71" s="261">
        <v>0</v>
      </c>
      <c r="Y71" s="261">
        <v>0</v>
      </c>
      <c r="Z71" s="261">
        <v>1597146891</v>
      </c>
      <c r="AA71" s="261">
        <v>1597146891</v>
      </c>
      <c r="AB71" s="261">
        <v>1597146891</v>
      </c>
      <c r="AC71" s="261">
        <v>0</v>
      </c>
      <c r="AD71" s="261">
        <v>390000000</v>
      </c>
      <c r="AE71" s="261">
        <v>390000000</v>
      </c>
      <c r="AF71" s="261">
        <v>1207146891</v>
      </c>
      <c r="AG71" s="261">
        <v>0</v>
      </c>
      <c r="AH71" s="261">
        <v>1597146891</v>
      </c>
      <c r="AI71" s="261">
        <v>0</v>
      </c>
      <c r="AJ71" s="261">
        <v>0</v>
      </c>
      <c r="AK71" s="261">
        <v>0</v>
      </c>
      <c r="AL71" s="261">
        <v>0</v>
      </c>
      <c r="AM71" s="261">
        <v>1597146891</v>
      </c>
      <c r="AN71" s="261">
        <v>1597146891</v>
      </c>
      <c r="AO71" s="261">
        <v>1597146891</v>
      </c>
      <c r="AP71" s="261">
        <v>0</v>
      </c>
      <c r="AQ71" s="6"/>
      <c r="AS71" s="6"/>
    </row>
    <row r="72" spans="1:45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 t="shared" ref="D72:R72" si="46">+D73+D74</f>
        <v>0</v>
      </c>
      <c r="E72" s="9">
        <f t="shared" si="46"/>
        <v>0</v>
      </c>
      <c r="F72" s="9">
        <f t="shared" si="46"/>
        <v>0</v>
      </c>
      <c r="G72" s="9">
        <f t="shared" si="46"/>
        <v>1597146891</v>
      </c>
      <c r="H72" s="9">
        <f t="shared" si="46"/>
        <v>1597146891</v>
      </c>
      <c r="I72" s="9">
        <f t="shared" si="46"/>
        <v>1597146891</v>
      </c>
      <c r="J72" s="9">
        <f t="shared" si="2"/>
        <v>0</v>
      </c>
      <c r="K72" s="9">
        <f t="shared" si="46"/>
        <v>390000000</v>
      </c>
      <c r="L72" s="9">
        <f t="shared" si="46"/>
        <v>390000000</v>
      </c>
      <c r="M72" s="9">
        <f t="shared" si="46"/>
        <v>1207146891</v>
      </c>
      <c r="N72" s="9">
        <f t="shared" si="46"/>
        <v>0</v>
      </c>
      <c r="O72" s="9">
        <f t="shared" si="46"/>
        <v>1597146891</v>
      </c>
      <c r="P72" s="9">
        <f t="shared" si="46"/>
        <v>0</v>
      </c>
      <c r="Q72" s="9">
        <f t="shared" si="3"/>
        <v>0</v>
      </c>
      <c r="R72" s="9">
        <f t="shared" si="46"/>
        <v>390000000</v>
      </c>
      <c r="T72" s="183" t="s">
        <v>106</v>
      </c>
      <c r="U72" s="259" t="s">
        <v>62</v>
      </c>
      <c r="V72" s="261">
        <v>1597146891</v>
      </c>
      <c r="W72" s="261">
        <v>0</v>
      </c>
      <c r="X72" s="261">
        <v>0</v>
      </c>
      <c r="Y72" s="261">
        <v>0</v>
      </c>
      <c r="Z72" s="261">
        <v>1597146891</v>
      </c>
      <c r="AA72" s="261">
        <v>1597146891</v>
      </c>
      <c r="AB72" s="261">
        <v>1597146891</v>
      </c>
      <c r="AC72" s="261">
        <v>0</v>
      </c>
      <c r="AD72" s="261">
        <v>390000000</v>
      </c>
      <c r="AE72" s="261">
        <v>390000000</v>
      </c>
      <c r="AF72" s="261">
        <v>1207146891</v>
      </c>
      <c r="AG72" s="261">
        <v>0</v>
      </c>
      <c r="AH72" s="261">
        <v>1597146891</v>
      </c>
      <c r="AI72" s="261">
        <v>0</v>
      </c>
      <c r="AJ72" s="261">
        <v>0</v>
      </c>
      <c r="AK72" s="261">
        <v>0</v>
      </c>
      <c r="AL72" s="261">
        <v>0</v>
      </c>
      <c r="AM72" s="261">
        <v>1597146891</v>
      </c>
      <c r="AN72" s="261">
        <v>1597146891</v>
      </c>
      <c r="AO72" s="261">
        <v>1597146891</v>
      </c>
      <c r="AP72" s="261">
        <v>0</v>
      </c>
      <c r="AQ72" s="9"/>
      <c r="AS72" s="9"/>
    </row>
    <row r="73" spans="1:45" x14ac:dyDescent="0.25">
      <c r="A73" s="2" t="s">
        <v>107</v>
      </c>
      <c r="B73" s="259" t="s">
        <v>64</v>
      </c>
      <c r="C73" s="261">
        <v>809646891</v>
      </c>
      <c r="D73" s="261">
        <v>0</v>
      </c>
      <c r="E73" s="261">
        <v>0</v>
      </c>
      <c r="F73" s="261">
        <v>0</v>
      </c>
      <c r="G73" s="261">
        <f>+C73+D73-E73+F73</f>
        <v>809646891</v>
      </c>
      <c r="H73" s="261">
        <v>809646891</v>
      </c>
      <c r="I73" s="261">
        <v>809646891</v>
      </c>
      <c r="J73" s="261">
        <f t="shared" ref="J73:J136" si="47">+G73-I73</f>
        <v>0</v>
      </c>
      <c r="K73" s="261">
        <v>200000000</v>
      </c>
      <c r="L73" s="261">
        <v>200000000</v>
      </c>
      <c r="M73" s="261">
        <f t="shared" si="11"/>
        <v>609646891</v>
      </c>
      <c r="N73" s="261">
        <v>0</v>
      </c>
      <c r="O73" s="261">
        <v>809646891</v>
      </c>
      <c r="P73" s="261">
        <f t="shared" ref="P73:P135" si="48">+O73-I73</f>
        <v>0</v>
      </c>
      <c r="Q73" s="177">
        <f t="shared" ref="Q73:Q136" si="49">+G73-O73</f>
        <v>0</v>
      </c>
      <c r="R73" s="261">
        <f t="shared" ref="R73:R135" si="50">+L73</f>
        <v>200000000</v>
      </c>
      <c r="T73" s="183" t="s">
        <v>107</v>
      </c>
      <c r="U73" s="259" t="s">
        <v>64</v>
      </c>
      <c r="V73" s="261">
        <v>809646891</v>
      </c>
      <c r="W73" s="261">
        <v>0</v>
      </c>
      <c r="X73" s="261">
        <v>0</v>
      </c>
      <c r="Y73" s="261">
        <v>0</v>
      </c>
      <c r="Z73" s="261">
        <v>809646891</v>
      </c>
      <c r="AA73" s="261">
        <v>809646891</v>
      </c>
      <c r="AB73" s="261">
        <v>809646891</v>
      </c>
      <c r="AC73" s="261">
        <v>0</v>
      </c>
      <c r="AD73" s="261">
        <v>200000000</v>
      </c>
      <c r="AE73" s="261">
        <v>200000000</v>
      </c>
      <c r="AF73" s="261">
        <v>609646891</v>
      </c>
      <c r="AG73" s="261">
        <v>0</v>
      </c>
      <c r="AH73" s="261">
        <v>809646891</v>
      </c>
      <c r="AI73" s="261">
        <v>0</v>
      </c>
      <c r="AJ73" s="261">
        <v>0</v>
      </c>
      <c r="AK73" s="261">
        <v>0</v>
      </c>
      <c r="AL73" s="261">
        <v>0</v>
      </c>
      <c r="AM73" s="261">
        <v>809646891</v>
      </c>
      <c r="AN73" s="261">
        <v>809646891</v>
      </c>
      <c r="AO73" s="261">
        <v>809646891</v>
      </c>
      <c r="AP73" s="261">
        <v>0</v>
      </c>
      <c r="AQ73" s="261"/>
      <c r="AS73" s="261"/>
    </row>
    <row r="74" spans="1:45" x14ac:dyDescent="0.25">
      <c r="A74" s="2" t="s">
        <v>108</v>
      </c>
      <c r="B74" s="259" t="s">
        <v>66</v>
      </c>
      <c r="C74" s="261">
        <v>787500000</v>
      </c>
      <c r="D74" s="261">
        <v>0</v>
      </c>
      <c r="E74" s="261">
        <v>0</v>
      </c>
      <c r="F74" s="261">
        <v>0</v>
      </c>
      <c r="G74" s="261">
        <f>+C74+D74-E74+F74</f>
        <v>787500000</v>
      </c>
      <c r="H74" s="261">
        <v>787500000</v>
      </c>
      <c r="I74" s="261">
        <v>787500000</v>
      </c>
      <c r="J74" s="261">
        <f t="shared" si="47"/>
        <v>0</v>
      </c>
      <c r="K74" s="261">
        <v>190000000</v>
      </c>
      <c r="L74" s="261">
        <v>190000000</v>
      </c>
      <c r="M74" s="261">
        <f t="shared" si="11"/>
        <v>597500000</v>
      </c>
      <c r="N74" s="261">
        <v>0</v>
      </c>
      <c r="O74" s="261">
        <v>787500000</v>
      </c>
      <c r="P74" s="261">
        <f t="shared" si="48"/>
        <v>0</v>
      </c>
      <c r="Q74" s="177">
        <f t="shared" si="49"/>
        <v>0</v>
      </c>
      <c r="R74" s="261">
        <f t="shared" si="50"/>
        <v>190000000</v>
      </c>
      <c r="T74" s="183" t="s">
        <v>108</v>
      </c>
      <c r="U74" s="259" t="s">
        <v>66</v>
      </c>
      <c r="V74" s="261">
        <v>787500000</v>
      </c>
      <c r="W74" s="261">
        <v>0</v>
      </c>
      <c r="X74" s="261">
        <v>0</v>
      </c>
      <c r="Y74" s="261">
        <v>0</v>
      </c>
      <c r="Z74" s="261">
        <v>787500000</v>
      </c>
      <c r="AA74" s="261">
        <v>787500000</v>
      </c>
      <c r="AB74" s="261">
        <v>787500000</v>
      </c>
      <c r="AC74" s="261">
        <v>0</v>
      </c>
      <c r="AD74" s="261">
        <v>190000000</v>
      </c>
      <c r="AE74" s="261">
        <v>190000000</v>
      </c>
      <c r="AF74" s="261">
        <v>597500000</v>
      </c>
      <c r="AG74" s="261">
        <v>0</v>
      </c>
      <c r="AH74" s="261">
        <v>787500000</v>
      </c>
      <c r="AI74" s="261">
        <v>0</v>
      </c>
      <c r="AJ74" s="261">
        <v>0</v>
      </c>
      <c r="AK74" s="261">
        <v>0</v>
      </c>
      <c r="AL74" s="261">
        <v>0</v>
      </c>
      <c r="AM74" s="261">
        <v>787500000</v>
      </c>
      <c r="AN74" s="261">
        <v>787500000</v>
      </c>
      <c r="AO74" s="261">
        <v>787500000</v>
      </c>
      <c r="AP74" s="261">
        <v>0</v>
      </c>
      <c r="AQ74" s="261"/>
      <c r="AS74" s="261"/>
    </row>
    <row r="75" spans="1:45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 t="shared" ref="D75:R75" si="51">+D76+D116</f>
        <v>1894032905</v>
      </c>
      <c r="E75" s="6">
        <f t="shared" si="51"/>
        <v>1337725000</v>
      </c>
      <c r="F75" s="6">
        <f t="shared" si="51"/>
        <v>1800000000</v>
      </c>
      <c r="G75" s="6">
        <f t="shared" si="51"/>
        <v>13189997131</v>
      </c>
      <c r="H75" s="6">
        <f t="shared" si="51"/>
        <v>1257550841.3299999</v>
      </c>
      <c r="I75" s="6">
        <f t="shared" si="51"/>
        <v>6845222300.3600006</v>
      </c>
      <c r="J75" s="6">
        <f t="shared" si="47"/>
        <v>6344774830.6399994</v>
      </c>
      <c r="K75" s="6">
        <f t="shared" si="51"/>
        <v>747045836.6500001</v>
      </c>
      <c r="L75" s="6">
        <f t="shared" si="51"/>
        <v>2860652871.6300001</v>
      </c>
      <c r="M75" s="6">
        <f t="shared" si="51"/>
        <v>3984569428.7300005</v>
      </c>
      <c r="N75" s="6">
        <f t="shared" si="51"/>
        <v>1432073797.5999999</v>
      </c>
      <c r="O75" s="6">
        <f t="shared" si="51"/>
        <v>10666807231.980001</v>
      </c>
      <c r="P75" s="6">
        <f t="shared" si="51"/>
        <v>3821584931.6199999</v>
      </c>
      <c r="Q75" s="6">
        <f t="shared" si="49"/>
        <v>2523189899.0199986</v>
      </c>
      <c r="R75" s="6">
        <f t="shared" si="51"/>
        <v>2860652871.6300001</v>
      </c>
      <c r="T75" s="183" t="s">
        <v>109</v>
      </c>
      <c r="U75" s="259" t="s">
        <v>110</v>
      </c>
      <c r="V75" s="261">
        <v>10658770574</v>
      </c>
      <c r="W75" s="261">
        <v>1794032905</v>
      </c>
      <c r="X75" s="261">
        <v>1337725000</v>
      </c>
      <c r="Y75" s="261">
        <v>1800000000</v>
      </c>
      <c r="Z75" s="261">
        <v>12915078479</v>
      </c>
      <c r="AA75" s="261">
        <v>1196052276.3299999</v>
      </c>
      <c r="AB75" s="261">
        <v>6644933326.3600006</v>
      </c>
      <c r="AC75" s="261">
        <v>6270145152.6399994</v>
      </c>
      <c r="AD75" s="261">
        <v>692674934.64999998</v>
      </c>
      <c r="AE75" s="261">
        <v>2673522840.6300001</v>
      </c>
      <c r="AF75" s="261">
        <v>4030335431.7300005</v>
      </c>
      <c r="AG75" s="261">
        <v>1371332500.5999999</v>
      </c>
      <c r="AH75" s="261">
        <v>10458316606.98</v>
      </c>
      <c r="AI75" s="261">
        <v>3813383280.6199989</v>
      </c>
      <c r="AJ75" s="261">
        <v>2456761872.0200005</v>
      </c>
      <c r="AK75" s="261">
        <v>280423074</v>
      </c>
      <c r="AL75" s="261">
        <v>1251563961.5999999</v>
      </c>
      <c r="AM75" s="261">
        <v>10713190336.98</v>
      </c>
      <c r="AN75" s="261">
        <v>10432767262.98</v>
      </c>
      <c r="AO75" s="261">
        <v>4470565810.3499994</v>
      </c>
      <c r="AP75" s="261">
        <v>2482311216.0200005</v>
      </c>
      <c r="AQ75" s="6"/>
      <c r="AS75" s="6"/>
    </row>
    <row r="76" spans="1:45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 t="shared" ref="D76:R76" si="52">+D77</f>
        <v>0</v>
      </c>
      <c r="E76" s="6">
        <f t="shared" si="52"/>
        <v>1252725000</v>
      </c>
      <c r="F76" s="6">
        <f t="shared" si="52"/>
        <v>1800000000</v>
      </c>
      <c r="G76" s="6">
        <f t="shared" si="52"/>
        <v>932730550</v>
      </c>
      <c r="H76" s="6">
        <f t="shared" si="52"/>
        <v>22168363</v>
      </c>
      <c r="I76" s="6">
        <f t="shared" si="52"/>
        <v>72409559.120000005</v>
      </c>
      <c r="J76" s="6">
        <f t="shared" si="47"/>
        <v>860320990.88</v>
      </c>
      <c r="K76" s="6">
        <f t="shared" si="52"/>
        <v>6577547</v>
      </c>
      <c r="L76" s="6">
        <f t="shared" si="52"/>
        <v>37664707.120000005</v>
      </c>
      <c r="M76" s="6">
        <f t="shared" si="52"/>
        <v>34744852</v>
      </c>
      <c r="N76" s="6">
        <f t="shared" si="52"/>
        <v>38725736</v>
      </c>
      <c r="O76" s="6">
        <f t="shared" si="52"/>
        <v>693463118.12</v>
      </c>
      <c r="P76" s="6">
        <f t="shared" si="52"/>
        <v>621053559</v>
      </c>
      <c r="Q76" s="6">
        <f t="shared" si="49"/>
        <v>239267431.88</v>
      </c>
      <c r="R76" s="6">
        <f t="shared" si="52"/>
        <v>37664707.120000005</v>
      </c>
      <c r="T76" s="183" t="s">
        <v>111</v>
      </c>
      <c r="U76" s="259" t="s">
        <v>112</v>
      </c>
      <c r="V76" s="261">
        <v>403855550</v>
      </c>
      <c r="W76" s="261">
        <v>0</v>
      </c>
      <c r="X76" s="261">
        <v>1252725000</v>
      </c>
      <c r="Y76" s="261">
        <v>1800000000</v>
      </c>
      <c r="Z76" s="261">
        <v>951130550</v>
      </c>
      <c r="AA76" s="261">
        <v>22168363</v>
      </c>
      <c r="AB76" s="261">
        <v>72409559.120000005</v>
      </c>
      <c r="AC76" s="261">
        <v>878720990.88</v>
      </c>
      <c r="AD76" s="261">
        <v>6577547</v>
      </c>
      <c r="AE76" s="261">
        <v>37664707.119999997</v>
      </c>
      <c r="AF76" s="261">
        <v>34744852.000000007</v>
      </c>
      <c r="AG76" s="261">
        <v>38725736</v>
      </c>
      <c r="AH76" s="261">
        <v>695263118.12</v>
      </c>
      <c r="AI76" s="261">
        <v>622853559</v>
      </c>
      <c r="AJ76" s="261">
        <v>255867431.88</v>
      </c>
      <c r="AK76" s="261">
        <v>0</v>
      </c>
      <c r="AL76" s="261">
        <v>34640270</v>
      </c>
      <c r="AM76" s="261">
        <v>691177652.12</v>
      </c>
      <c r="AN76" s="261">
        <v>691177652.12</v>
      </c>
      <c r="AO76" s="261">
        <v>629724619</v>
      </c>
      <c r="AP76" s="261">
        <v>259952897.88</v>
      </c>
      <c r="AQ76" s="6"/>
      <c r="AS76" s="6"/>
    </row>
    <row r="77" spans="1:45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 t="shared" ref="D77:R77" si="53">+D78+D86+D110</f>
        <v>0</v>
      </c>
      <c r="E77" s="6">
        <f t="shared" si="53"/>
        <v>1252725000</v>
      </c>
      <c r="F77" s="6">
        <f t="shared" si="53"/>
        <v>1800000000</v>
      </c>
      <c r="G77" s="6">
        <f t="shared" si="53"/>
        <v>932730550</v>
      </c>
      <c r="H77" s="6">
        <f t="shared" si="53"/>
        <v>22168363</v>
      </c>
      <c r="I77" s="6">
        <f t="shared" si="53"/>
        <v>72409559.120000005</v>
      </c>
      <c r="J77" s="6">
        <f t="shared" si="47"/>
        <v>860320990.88</v>
      </c>
      <c r="K77" s="6">
        <f t="shared" si="53"/>
        <v>6577547</v>
      </c>
      <c r="L77" s="6">
        <f t="shared" si="53"/>
        <v>37664707.120000005</v>
      </c>
      <c r="M77" s="6">
        <f t="shared" si="53"/>
        <v>34744852</v>
      </c>
      <c r="N77" s="6">
        <f t="shared" si="53"/>
        <v>38725736</v>
      </c>
      <c r="O77" s="6">
        <f t="shared" si="53"/>
        <v>693463118.12</v>
      </c>
      <c r="P77" s="6">
        <f t="shared" si="53"/>
        <v>621053559</v>
      </c>
      <c r="Q77" s="6">
        <f t="shared" si="49"/>
        <v>239267431.88</v>
      </c>
      <c r="R77" s="6">
        <f t="shared" si="53"/>
        <v>37664707.120000005</v>
      </c>
      <c r="T77" s="183" t="s">
        <v>113</v>
      </c>
      <c r="U77" s="259" t="s">
        <v>114</v>
      </c>
      <c r="V77" s="261">
        <v>403855550</v>
      </c>
      <c r="W77" s="261">
        <v>0</v>
      </c>
      <c r="X77" s="261">
        <v>1252725000</v>
      </c>
      <c r="Y77" s="261">
        <v>1800000000</v>
      </c>
      <c r="Z77" s="261">
        <v>951130550</v>
      </c>
      <c r="AA77" s="261">
        <v>22168363</v>
      </c>
      <c r="AB77" s="261">
        <v>72409559.120000005</v>
      </c>
      <c r="AC77" s="261">
        <v>878720990.88</v>
      </c>
      <c r="AD77" s="261">
        <v>6577547</v>
      </c>
      <c r="AE77" s="261">
        <v>37664707.119999997</v>
      </c>
      <c r="AF77" s="261">
        <v>34744852.000000007</v>
      </c>
      <c r="AG77" s="261">
        <v>38725736</v>
      </c>
      <c r="AH77" s="261">
        <v>695263118.12</v>
      </c>
      <c r="AI77" s="261">
        <v>622853559</v>
      </c>
      <c r="AJ77" s="261">
        <v>255867431.88</v>
      </c>
      <c r="AK77" s="261">
        <v>0</v>
      </c>
      <c r="AL77" s="261">
        <v>34640270</v>
      </c>
      <c r="AM77" s="261">
        <v>691177652.12</v>
      </c>
      <c r="AN77" s="261">
        <v>691177652.12</v>
      </c>
      <c r="AO77" s="261">
        <v>629724619</v>
      </c>
      <c r="AP77" s="261">
        <v>259952897.88</v>
      </c>
      <c r="AQ77" s="6"/>
      <c r="AS77" s="6"/>
    </row>
    <row r="78" spans="1:45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 t="shared" ref="D78:R78" si="54">+D79</f>
        <v>0</v>
      </c>
      <c r="E78" s="9">
        <f t="shared" si="54"/>
        <v>0</v>
      </c>
      <c r="F78" s="9">
        <f t="shared" si="54"/>
        <v>0</v>
      </c>
      <c r="G78" s="9">
        <f t="shared" si="54"/>
        <v>20400000</v>
      </c>
      <c r="H78" s="9">
        <f t="shared" si="54"/>
        <v>0</v>
      </c>
      <c r="I78" s="9">
        <f t="shared" si="54"/>
        <v>0</v>
      </c>
      <c r="J78" s="9">
        <f t="shared" si="47"/>
        <v>20400000</v>
      </c>
      <c r="K78" s="9">
        <f t="shared" si="54"/>
        <v>0</v>
      </c>
      <c r="L78" s="9">
        <f t="shared" si="54"/>
        <v>0</v>
      </c>
      <c r="M78" s="9">
        <f t="shared" si="54"/>
        <v>0</v>
      </c>
      <c r="N78" s="9">
        <f t="shared" si="54"/>
        <v>0</v>
      </c>
      <c r="O78" s="9">
        <f t="shared" si="54"/>
        <v>0</v>
      </c>
      <c r="P78" s="9">
        <f t="shared" si="54"/>
        <v>0</v>
      </c>
      <c r="Q78" s="9">
        <f t="shared" si="49"/>
        <v>20400000</v>
      </c>
      <c r="R78" s="9">
        <f t="shared" si="54"/>
        <v>0</v>
      </c>
      <c r="T78" s="183" t="s">
        <v>115</v>
      </c>
      <c r="U78" s="259" t="s">
        <v>116</v>
      </c>
      <c r="V78" s="261">
        <v>38800000</v>
      </c>
      <c r="W78" s="261">
        <v>0</v>
      </c>
      <c r="X78" s="261">
        <v>0</v>
      </c>
      <c r="Y78" s="261">
        <v>0</v>
      </c>
      <c r="Z78" s="261">
        <v>38800000</v>
      </c>
      <c r="AA78" s="261">
        <v>0</v>
      </c>
      <c r="AB78" s="261">
        <v>0</v>
      </c>
      <c r="AC78" s="261">
        <v>38800000</v>
      </c>
      <c r="AD78" s="261">
        <v>0</v>
      </c>
      <c r="AE78" s="261">
        <v>0</v>
      </c>
      <c r="AF78" s="261">
        <v>0</v>
      </c>
      <c r="AG78" s="261">
        <v>0</v>
      </c>
      <c r="AH78" s="261">
        <v>0</v>
      </c>
      <c r="AI78" s="261">
        <v>0</v>
      </c>
      <c r="AJ78" s="261">
        <v>38800000</v>
      </c>
      <c r="AK78" s="261">
        <v>0</v>
      </c>
      <c r="AL78" s="261">
        <v>0</v>
      </c>
      <c r="AM78" s="261">
        <v>0</v>
      </c>
      <c r="AN78" s="261">
        <v>0</v>
      </c>
      <c r="AO78" s="261">
        <v>0</v>
      </c>
      <c r="AP78" s="261">
        <v>38800000</v>
      </c>
      <c r="AQ78" s="9"/>
      <c r="AS78" s="9"/>
    </row>
    <row r="79" spans="1:45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 t="shared" ref="D79:R79" si="55">+D80+D85</f>
        <v>0</v>
      </c>
      <c r="E79" s="9">
        <f t="shared" si="55"/>
        <v>0</v>
      </c>
      <c r="F79" s="9">
        <f t="shared" si="55"/>
        <v>0</v>
      </c>
      <c r="G79" s="9">
        <f t="shared" si="55"/>
        <v>20400000</v>
      </c>
      <c r="H79" s="9">
        <f t="shared" si="55"/>
        <v>0</v>
      </c>
      <c r="I79" s="9">
        <f t="shared" si="55"/>
        <v>0</v>
      </c>
      <c r="J79" s="9">
        <f t="shared" si="47"/>
        <v>20400000</v>
      </c>
      <c r="K79" s="9">
        <f t="shared" si="55"/>
        <v>0</v>
      </c>
      <c r="L79" s="9">
        <f t="shared" si="55"/>
        <v>0</v>
      </c>
      <c r="M79" s="9">
        <f t="shared" si="55"/>
        <v>0</v>
      </c>
      <c r="N79" s="9">
        <f t="shared" si="55"/>
        <v>0</v>
      </c>
      <c r="O79" s="9">
        <f t="shared" si="55"/>
        <v>0</v>
      </c>
      <c r="P79" s="9">
        <f t="shared" si="55"/>
        <v>0</v>
      </c>
      <c r="Q79" s="9">
        <f t="shared" si="49"/>
        <v>20400000</v>
      </c>
      <c r="R79" s="9">
        <f t="shared" si="55"/>
        <v>0</v>
      </c>
      <c r="T79" s="183" t="s">
        <v>117</v>
      </c>
      <c r="U79" s="259" t="s">
        <v>118</v>
      </c>
      <c r="V79" s="261">
        <v>38800000</v>
      </c>
      <c r="W79" s="261">
        <v>0</v>
      </c>
      <c r="X79" s="261">
        <v>0</v>
      </c>
      <c r="Y79" s="261">
        <v>0</v>
      </c>
      <c r="Z79" s="261">
        <v>38800000</v>
      </c>
      <c r="AA79" s="261">
        <v>0</v>
      </c>
      <c r="AB79" s="261">
        <v>0</v>
      </c>
      <c r="AC79" s="261">
        <v>38800000</v>
      </c>
      <c r="AD79" s="261">
        <v>0</v>
      </c>
      <c r="AE79" s="261">
        <v>0</v>
      </c>
      <c r="AF79" s="261">
        <v>0</v>
      </c>
      <c r="AG79" s="261">
        <v>0</v>
      </c>
      <c r="AH79" s="261">
        <v>0</v>
      </c>
      <c r="AI79" s="261">
        <v>0</v>
      </c>
      <c r="AJ79" s="261">
        <v>38800000</v>
      </c>
      <c r="AK79" s="261">
        <v>0</v>
      </c>
      <c r="AL79" s="261">
        <v>0</v>
      </c>
      <c r="AM79" s="261">
        <v>0</v>
      </c>
      <c r="AN79" s="261">
        <v>0</v>
      </c>
      <c r="AO79" s="261">
        <v>0</v>
      </c>
      <c r="AP79" s="261">
        <v>38800000</v>
      </c>
      <c r="AQ79" s="9"/>
      <c r="AS79" s="9"/>
    </row>
    <row r="80" spans="1:45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 t="shared" ref="D80:R80" si="56">SUM(D81:D84)</f>
        <v>0</v>
      </c>
      <c r="E80" s="9">
        <f t="shared" si="56"/>
        <v>0</v>
      </c>
      <c r="F80" s="9">
        <f t="shared" si="56"/>
        <v>0</v>
      </c>
      <c r="G80" s="9">
        <f t="shared" si="56"/>
        <v>18400000</v>
      </c>
      <c r="H80" s="9">
        <f t="shared" si="56"/>
        <v>0</v>
      </c>
      <c r="I80" s="9">
        <f t="shared" si="56"/>
        <v>0</v>
      </c>
      <c r="J80" s="9">
        <f t="shared" si="47"/>
        <v>18400000</v>
      </c>
      <c r="K80" s="9">
        <f t="shared" si="56"/>
        <v>0</v>
      </c>
      <c r="L80" s="9">
        <f t="shared" si="56"/>
        <v>0</v>
      </c>
      <c r="M80" s="9">
        <f t="shared" si="56"/>
        <v>0</v>
      </c>
      <c r="N80" s="9">
        <f t="shared" si="56"/>
        <v>0</v>
      </c>
      <c r="O80" s="9">
        <f t="shared" si="56"/>
        <v>0</v>
      </c>
      <c r="P80" s="9">
        <f t="shared" si="56"/>
        <v>0</v>
      </c>
      <c r="Q80" s="9">
        <f t="shared" si="49"/>
        <v>18400000</v>
      </c>
      <c r="R80" s="9">
        <f t="shared" si="56"/>
        <v>0</v>
      </c>
      <c r="T80" s="183" t="s">
        <v>119</v>
      </c>
      <c r="U80" s="259" t="s">
        <v>120</v>
      </c>
      <c r="V80" s="261">
        <v>18400000</v>
      </c>
      <c r="W80" s="261">
        <v>0</v>
      </c>
      <c r="X80" s="261">
        <v>0</v>
      </c>
      <c r="Y80" s="261">
        <v>0</v>
      </c>
      <c r="Z80" s="261">
        <v>18400000</v>
      </c>
      <c r="AA80" s="261">
        <v>0</v>
      </c>
      <c r="AB80" s="261">
        <v>0</v>
      </c>
      <c r="AC80" s="261">
        <v>18400000</v>
      </c>
      <c r="AD80" s="261">
        <v>0</v>
      </c>
      <c r="AE80" s="261">
        <v>0</v>
      </c>
      <c r="AF80" s="261">
        <v>0</v>
      </c>
      <c r="AG80" s="261">
        <v>0</v>
      </c>
      <c r="AH80" s="261">
        <v>0</v>
      </c>
      <c r="AI80" s="261">
        <v>0</v>
      </c>
      <c r="AJ80" s="261">
        <v>18400000</v>
      </c>
      <c r="AK80" s="261">
        <v>0</v>
      </c>
      <c r="AL80" s="261">
        <v>0</v>
      </c>
      <c r="AM80" s="261">
        <v>0</v>
      </c>
      <c r="AN80" s="261">
        <v>0</v>
      </c>
      <c r="AO80" s="261">
        <v>0</v>
      </c>
      <c r="AP80" s="261">
        <v>18400000</v>
      </c>
      <c r="AQ80" s="9"/>
      <c r="AS80" s="9"/>
    </row>
    <row r="81" spans="1:45" x14ac:dyDescent="0.25">
      <c r="A81" s="2" t="s">
        <v>121</v>
      </c>
      <c r="B81" s="259" t="s">
        <v>122</v>
      </c>
      <c r="C81" s="261">
        <v>2400000</v>
      </c>
      <c r="D81" s="261">
        <v>0</v>
      </c>
      <c r="E81" s="261">
        <v>0</v>
      </c>
      <c r="F81" s="261">
        <v>0</v>
      </c>
      <c r="G81" s="261">
        <f>+C81+D81-E81+F81</f>
        <v>2400000</v>
      </c>
      <c r="H81" s="261">
        <v>0</v>
      </c>
      <c r="I81" s="261">
        <v>0</v>
      </c>
      <c r="J81" s="261">
        <f t="shared" si="47"/>
        <v>2400000</v>
      </c>
      <c r="K81" s="261">
        <v>0</v>
      </c>
      <c r="L81" s="261">
        <v>0</v>
      </c>
      <c r="M81" s="261">
        <f t="shared" ref="M81:M144" si="57">+I81-L81</f>
        <v>0</v>
      </c>
      <c r="N81" s="261">
        <v>0</v>
      </c>
      <c r="O81" s="261">
        <v>0</v>
      </c>
      <c r="P81" s="261">
        <f t="shared" si="48"/>
        <v>0</v>
      </c>
      <c r="Q81" s="177">
        <f t="shared" si="49"/>
        <v>2400000</v>
      </c>
      <c r="R81" s="261">
        <f t="shared" si="50"/>
        <v>0</v>
      </c>
      <c r="T81" s="183" t="s">
        <v>121</v>
      </c>
      <c r="U81" s="259" t="s">
        <v>122</v>
      </c>
      <c r="V81" s="261">
        <v>2400000</v>
      </c>
      <c r="W81" s="261">
        <v>0</v>
      </c>
      <c r="X81" s="261">
        <v>0</v>
      </c>
      <c r="Y81" s="261">
        <v>0</v>
      </c>
      <c r="Z81" s="261">
        <v>2400000</v>
      </c>
      <c r="AA81" s="261">
        <v>0</v>
      </c>
      <c r="AB81" s="261">
        <v>0</v>
      </c>
      <c r="AC81" s="261">
        <v>2400000</v>
      </c>
      <c r="AD81" s="261">
        <v>0</v>
      </c>
      <c r="AE81" s="261">
        <v>0</v>
      </c>
      <c r="AF81" s="261">
        <v>0</v>
      </c>
      <c r="AG81" s="261">
        <v>0</v>
      </c>
      <c r="AH81" s="261">
        <v>0</v>
      </c>
      <c r="AI81" s="261">
        <v>0</v>
      </c>
      <c r="AJ81" s="261">
        <v>2400000</v>
      </c>
      <c r="AK81" s="261">
        <v>0</v>
      </c>
      <c r="AL81" s="261">
        <v>0</v>
      </c>
      <c r="AM81" s="261">
        <v>0</v>
      </c>
      <c r="AN81" s="261">
        <v>0</v>
      </c>
      <c r="AO81" s="261">
        <v>0</v>
      </c>
      <c r="AP81" s="261">
        <v>2400000</v>
      </c>
      <c r="AQ81" s="261"/>
      <c r="AS81" s="261"/>
    </row>
    <row r="82" spans="1:45" x14ac:dyDescent="0.25">
      <c r="A82" s="2" t="s">
        <v>123</v>
      </c>
      <c r="B82" s="259" t="s">
        <v>124</v>
      </c>
      <c r="C82" s="261">
        <v>6000000</v>
      </c>
      <c r="D82" s="261">
        <v>0</v>
      </c>
      <c r="E82" s="261">
        <v>0</v>
      </c>
      <c r="F82" s="261">
        <v>0</v>
      </c>
      <c r="G82" s="261">
        <f>+C82+D82-E82+F82</f>
        <v>6000000</v>
      </c>
      <c r="H82" s="261">
        <v>0</v>
      </c>
      <c r="I82" s="261">
        <v>0</v>
      </c>
      <c r="J82" s="261">
        <f t="shared" si="47"/>
        <v>6000000</v>
      </c>
      <c r="K82" s="261">
        <v>0</v>
      </c>
      <c r="L82" s="261">
        <v>0</v>
      </c>
      <c r="M82" s="261">
        <f t="shared" si="57"/>
        <v>0</v>
      </c>
      <c r="N82" s="261">
        <v>0</v>
      </c>
      <c r="O82" s="261">
        <v>0</v>
      </c>
      <c r="P82" s="261">
        <f t="shared" si="48"/>
        <v>0</v>
      </c>
      <c r="Q82" s="177">
        <f t="shared" si="49"/>
        <v>6000000</v>
      </c>
      <c r="R82" s="261">
        <f t="shared" si="50"/>
        <v>0</v>
      </c>
      <c r="T82" s="183" t="s">
        <v>123</v>
      </c>
      <c r="U82" s="259" t="s">
        <v>124</v>
      </c>
      <c r="V82" s="261">
        <v>6000000</v>
      </c>
      <c r="W82" s="261">
        <v>0</v>
      </c>
      <c r="X82" s="261">
        <v>0</v>
      </c>
      <c r="Y82" s="261">
        <v>0</v>
      </c>
      <c r="Z82" s="261">
        <v>6000000</v>
      </c>
      <c r="AA82" s="261">
        <v>0</v>
      </c>
      <c r="AB82" s="261">
        <v>0</v>
      </c>
      <c r="AC82" s="261">
        <v>6000000</v>
      </c>
      <c r="AD82" s="261">
        <v>0</v>
      </c>
      <c r="AE82" s="261">
        <v>0</v>
      </c>
      <c r="AF82" s="261">
        <v>0</v>
      </c>
      <c r="AG82" s="261">
        <v>0</v>
      </c>
      <c r="AH82" s="261">
        <v>0</v>
      </c>
      <c r="AI82" s="261">
        <v>0</v>
      </c>
      <c r="AJ82" s="261">
        <v>6000000</v>
      </c>
      <c r="AK82" s="261">
        <v>0</v>
      </c>
      <c r="AL82" s="261">
        <v>0</v>
      </c>
      <c r="AM82" s="261">
        <v>0</v>
      </c>
      <c r="AN82" s="261">
        <v>0</v>
      </c>
      <c r="AO82" s="261">
        <v>0</v>
      </c>
      <c r="AP82" s="261">
        <v>6000000</v>
      </c>
      <c r="AQ82" s="261"/>
      <c r="AS82" s="261"/>
    </row>
    <row r="83" spans="1:45" x14ac:dyDescent="0.25">
      <c r="A83" s="2" t="s">
        <v>125</v>
      </c>
      <c r="B83" s="259" t="s">
        <v>126</v>
      </c>
      <c r="C83" s="261">
        <v>6000000</v>
      </c>
      <c r="D83" s="261">
        <v>0</v>
      </c>
      <c r="E83" s="261">
        <v>0</v>
      </c>
      <c r="F83" s="261">
        <v>0</v>
      </c>
      <c r="G83" s="261">
        <f>+C83+D83-E83+F83</f>
        <v>6000000</v>
      </c>
      <c r="H83" s="261">
        <v>0</v>
      </c>
      <c r="I83" s="261">
        <v>0</v>
      </c>
      <c r="J83" s="261">
        <f t="shared" si="47"/>
        <v>6000000</v>
      </c>
      <c r="K83" s="261">
        <v>0</v>
      </c>
      <c r="L83" s="261">
        <v>0</v>
      </c>
      <c r="M83" s="261">
        <f t="shared" si="57"/>
        <v>0</v>
      </c>
      <c r="N83" s="261">
        <v>0</v>
      </c>
      <c r="O83" s="261">
        <v>0</v>
      </c>
      <c r="P83" s="261">
        <f t="shared" si="48"/>
        <v>0</v>
      </c>
      <c r="Q83" s="177">
        <f t="shared" si="49"/>
        <v>6000000</v>
      </c>
      <c r="R83" s="261">
        <f t="shared" si="50"/>
        <v>0</v>
      </c>
      <c r="T83" s="183" t="s">
        <v>125</v>
      </c>
      <c r="U83" s="259" t="s">
        <v>126</v>
      </c>
      <c r="V83" s="261">
        <v>6000000</v>
      </c>
      <c r="W83" s="261">
        <v>0</v>
      </c>
      <c r="X83" s="261">
        <v>0</v>
      </c>
      <c r="Y83" s="261">
        <v>0</v>
      </c>
      <c r="Z83" s="261">
        <v>6000000</v>
      </c>
      <c r="AA83" s="261">
        <v>0</v>
      </c>
      <c r="AB83" s="261">
        <v>0</v>
      </c>
      <c r="AC83" s="261">
        <v>6000000</v>
      </c>
      <c r="AD83" s="261">
        <v>0</v>
      </c>
      <c r="AE83" s="261">
        <v>0</v>
      </c>
      <c r="AF83" s="261">
        <v>0</v>
      </c>
      <c r="AG83" s="261">
        <v>0</v>
      </c>
      <c r="AH83" s="261">
        <v>0</v>
      </c>
      <c r="AI83" s="261">
        <v>0</v>
      </c>
      <c r="AJ83" s="261">
        <v>6000000</v>
      </c>
      <c r="AK83" s="261">
        <v>0</v>
      </c>
      <c r="AL83" s="261">
        <v>0</v>
      </c>
      <c r="AM83" s="261">
        <v>0</v>
      </c>
      <c r="AN83" s="261">
        <v>0</v>
      </c>
      <c r="AO83" s="261">
        <v>0</v>
      </c>
      <c r="AP83" s="261">
        <v>6000000</v>
      </c>
      <c r="AQ83" s="261"/>
      <c r="AS83" s="261"/>
    </row>
    <row r="84" spans="1:45" x14ac:dyDescent="0.25">
      <c r="A84" s="2" t="s">
        <v>127</v>
      </c>
      <c r="B84" s="259" t="s">
        <v>128</v>
      </c>
      <c r="C84" s="261">
        <v>4000000</v>
      </c>
      <c r="D84" s="261">
        <v>0</v>
      </c>
      <c r="E84" s="261">
        <v>0</v>
      </c>
      <c r="F84" s="261">
        <v>0</v>
      </c>
      <c r="G84" s="261">
        <f>+C84+D84-E84+F84</f>
        <v>4000000</v>
      </c>
      <c r="H84" s="261">
        <v>0</v>
      </c>
      <c r="I84" s="261">
        <v>0</v>
      </c>
      <c r="J84" s="261">
        <f t="shared" si="47"/>
        <v>4000000</v>
      </c>
      <c r="K84" s="261">
        <v>0</v>
      </c>
      <c r="L84" s="261">
        <v>0</v>
      </c>
      <c r="M84" s="261">
        <f t="shared" si="57"/>
        <v>0</v>
      </c>
      <c r="N84" s="261">
        <v>0</v>
      </c>
      <c r="O84" s="261">
        <v>0</v>
      </c>
      <c r="P84" s="261">
        <f t="shared" si="48"/>
        <v>0</v>
      </c>
      <c r="Q84" s="177">
        <f t="shared" si="49"/>
        <v>4000000</v>
      </c>
      <c r="R84" s="261">
        <f t="shared" si="50"/>
        <v>0</v>
      </c>
      <c r="T84" s="183" t="s">
        <v>127</v>
      </c>
      <c r="U84" s="259" t="s">
        <v>128</v>
      </c>
      <c r="V84" s="261">
        <v>4000000</v>
      </c>
      <c r="W84" s="261">
        <v>0</v>
      </c>
      <c r="X84" s="261">
        <v>0</v>
      </c>
      <c r="Y84" s="261">
        <v>0</v>
      </c>
      <c r="Z84" s="261">
        <v>4000000</v>
      </c>
      <c r="AA84" s="261">
        <v>0</v>
      </c>
      <c r="AB84" s="261">
        <v>0</v>
      </c>
      <c r="AC84" s="261">
        <v>4000000</v>
      </c>
      <c r="AD84" s="261">
        <v>0</v>
      </c>
      <c r="AE84" s="261">
        <v>0</v>
      </c>
      <c r="AF84" s="261">
        <v>0</v>
      </c>
      <c r="AG84" s="261">
        <v>0</v>
      </c>
      <c r="AH84" s="261">
        <v>0</v>
      </c>
      <c r="AI84" s="261">
        <v>0</v>
      </c>
      <c r="AJ84" s="261">
        <v>4000000</v>
      </c>
      <c r="AK84" s="261">
        <v>0</v>
      </c>
      <c r="AL84" s="261">
        <v>0</v>
      </c>
      <c r="AM84" s="261">
        <v>0</v>
      </c>
      <c r="AN84" s="261">
        <v>0</v>
      </c>
      <c r="AO84" s="261">
        <v>0</v>
      </c>
      <c r="AP84" s="261">
        <v>4000000</v>
      </c>
      <c r="AQ84" s="261"/>
      <c r="AS84" s="261"/>
    </row>
    <row r="85" spans="1:45" x14ac:dyDescent="0.25">
      <c r="A85" s="2" t="s">
        <v>129</v>
      </c>
      <c r="B85" s="259" t="s">
        <v>130</v>
      </c>
      <c r="C85" s="261">
        <v>2000000</v>
      </c>
      <c r="D85" s="261">
        <v>0</v>
      </c>
      <c r="E85" s="261">
        <v>0</v>
      </c>
      <c r="F85" s="261">
        <v>0</v>
      </c>
      <c r="G85" s="261">
        <f>+C85+D85-E85+F85</f>
        <v>2000000</v>
      </c>
      <c r="H85" s="261">
        <v>0</v>
      </c>
      <c r="I85" s="261">
        <v>0</v>
      </c>
      <c r="J85" s="261">
        <f t="shared" si="47"/>
        <v>2000000</v>
      </c>
      <c r="K85" s="261">
        <v>0</v>
      </c>
      <c r="L85" s="261">
        <v>0</v>
      </c>
      <c r="M85" s="261">
        <f t="shared" si="57"/>
        <v>0</v>
      </c>
      <c r="N85" s="261">
        <v>0</v>
      </c>
      <c r="O85" s="261">
        <v>0</v>
      </c>
      <c r="P85" s="261">
        <f t="shared" si="48"/>
        <v>0</v>
      </c>
      <c r="Q85" s="177">
        <f t="shared" si="49"/>
        <v>2000000</v>
      </c>
      <c r="R85" s="261">
        <f t="shared" si="50"/>
        <v>0</v>
      </c>
      <c r="T85" s="183" t="s">
        <v>129</v>
      </c>
      <c r="U85" s="259" t="s">
        <v>130</v>
      </c>
      <c r="V85" s="261">
        <v>2000000</v>
      </c>
      <c r="W85" s="261">
        <v>0</v>
      </c>
      <c r="X85" s="261">
        <v>0</v>
      </c>
      <c r="Y85" s="261">
        <v>0</v>
      </c>
      <c r="Z85" s="261">
        <v>2000000</v>
      </c>
      <c r="AA85" s="261">
        <v>0</v>
      </c>
      <c r="AB85" s="261">
        <v>0</v>
      </c>
      <c r="AC85" s="261">
        <v>2000000</v>
      </c>
      <c r="AD85" s="261">
        <v>0</v>
      </c>
      <c r="AE85" s="261">
        <v>0</v>
      </c>
      <c r="AF85" s="261">
        <v>0</v>
      </c>
      <c r="AG85" s="261">
        <v>0</v>
      </c>
      <c r="AH85" s="261">
        <v>0</v>
      </c>
      <c r="AI85" s="261">
        <v>0</v>
      </c>
      <c r="AJ85" s="261">
        <v>2000000</v>
      </c>
      <c r="AK85" s="261">
        <v>0</v>
      </c>
      <c r="AL85" s="261">
        <v>0</v>
      </c>
      <c r="AM85" s="261">
        <v>0</v>
      </c>
      <c r="AN85" s="261">
        <v>0</v>
      </c>
      <c r="AO85" s="261">
        <v>0</v>
      </c>
      <c r="AP85" s="261">
        <v>2000000</v>
      </c>
      <c r="AQ85" s="261"/>
      <c r="AS85" s="261"/>
    </row>
    <row r="86" spans="1:45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 t="shared" ref="D86:R86" si="58">+D87+D90+D94+D97+D102+D104+D108</f>
        <v>0</v>
      </c>
      <c r="E86" s="9">
        <f t="shared" si="58"/>
        <v>27000000</v>
      </c>
      <c r="F86" s="9">
        <f t="shared" si="58"/>
        <v>0</v>
      </c>
      <c r="G86" s="9">
        <f t="shared" si="58"/>
        <v>248055550</v>
      </c>
      <c r="H86" s="9">
        <f t="shared" si="58"/>
        <v>22168363</v>
      </c>
      <c r="I86" s="9">
        <f t="shared" si="58"/>
        <v>53108235.119999997</v>
      </c>
      <c r="J86" s="9">
        <f t="shared" si="47"/>
        <v>194947314.88</v>
      </c>
      <c r="K86" s="9">
        <f t="shared" si="58"/>
        <v>1938600</v>
      </c>
      <c r="L86" s="9">
        <f t="shared" si="58"/>
        <v>18363384.120000001</v>
      </c>
      <c r="M86" s="9">
        <f t="shared" si="58"/>
        <v>34744851</v>
      </c>
      <c r="N86" s="9">
        <f t="shared" si="58"/>
        <v>38725736</v>
      </c>
      <c r="O86" s="9">
        <f t="shared" si="58"/>
        <v>99886794.120000005</v>
      </c>
      <c r="P86" s="9">
        <f t="shared" si="58"/>
        <v>46778559</v>
      </c>
      <c r="Q86" s="9">
        <f t="shared" si="49"/>
        <v>148168755.88</v>
      </c>
      <c r="R86" s="9">
        <f t="shared" si="58"/>
        <v>18363384.120000001</v>
      </c>
      <c r="T86" s="183" t="s">
        <v>131</v>
      </c>
      <c r="U86" s="259" t="s">
        <v>132</v>
      </c>
      <c r="V86" s="261">
        <v>275055550</v>
      </c>
      <c r="W86" s="261">
        <v>0</v>
      </c>
      <c r="X86" s="261">
        <v>27000000</v>
      </c>
      <c r="Y86" s="261">
        <v>0</v>
      </c>
      <c r="Z86" s="261">
        <v>248055550</v>
      </c>
      <c r="AA86" s="261">
        <v>22168363</v>
      </c>
      <c r="AB86" s="261">
        <v>53108235.119999997</v>
      </c>
      <c r="AC86" s="261">
        <v>194947314.88</v>
      </c>
      <c r="AD86" s="261">
        <v>1938600</v>
      </c>
      <c r="AE86" s="261">
        <v>18363384.119999997</v>
      </c>
      <c r="AF86" s="261">
        <v>34744851</v>
      </c>
      <c r="AG86" s="261">
        <v>38725736</v>
      </c>
      <c r="AH86" s="261">
        <v>101686794.12</v>
      </c>
      <c r="AI86" s="261">
        <v>48578559.000000007</v>
      </c>
      <c r="AJ86" s="261">
        <v>146368755.88</v>
      </c>
      <c r="AK86" s="261">
        <v>0</v>
      </c>
      <c r="AL86" s="261">
        <v>34640270</v>
      </c>
      <c r="AM86" s="261">
        <v>97601328.120000005</v>
      </c>
      <c r="AN86" s="261">
        <v>97601328.120000005</v>
      </c>
      <c r="AO86" s="261">
        <v>55449619</v>
      </c>
      <c r="AP86" s="261">
        <v>150454221.88</v>
      </c>
      <c r="AQ86" s="9"/>
      <c r="AS86" s="9"/>
    </row>
    <row r="87" spans="1:45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 t="shared" ref="D87:R87" si="59">+D88+D89</f>
        <v>0</v>
      </c>
      <c r="E87" s="9">
        <f t="shared" si="59"/>
        <v>27000000</v>
      </c>
      <c r="F87" s="9">
        <f t="shared" si="59"/>
        <v>0</v>
      </c>
      <c r="G87" s="9">
        <f t="shared" si="59"/>
        <v>33955550</v>
      </c>
      <c r="H87" s="9">
        <f t="shared" si="59"/>
        <v>1140000</v>
      </c>
      <c r="I87" s="9">
        <f t="shared" si="59"/>
        <v>7342714</v>
      </c>
      <c r="J87" s="9">
        <f t="shared" si="47"/>
        <v>26612836</v>
      </c>
      <c r="K87" s="9">
        <f t="shared" si="59"/>
        <v>1140000</v>
      </c>
      <c r="L87" s="9">
        <f t="shared" si="59"/>
        <v>5342714</v>
      </c>
      <c r="M87" s="9">
        <f t="shared" si="59"/>
        <v>2000000</v>
      </c>
      <c r="N87" s="9">
        <f t="shared" si="59"/>
        <v>3140000</v>
      </c>
      <c r="O87" s="9">
        <f t="shared" si="59"/>
        <v>17342714</v>
      </c>
      <c r="P87" s="9">
        <f t="shared" si="59"/>
        <v>10000000</v>
      </c>
      <c r="Q87" s="9">
        <f t="shared" si="49"/>
        <v>16612836</v>
      </c>
      <c r="R87" s="9">
        <f t="shared" si="59"/>
        <v>5342714</v>
      </c>
      <c r="T87" s="183" t="s">
        <v>133</v>
      </c>
      <c r="U87" s="259" t="s">
        <v>134</v>
      </c>
      <c r="V87" s="261">
        <v>60955550</v>
      </c>
      <c r="W87" s="261">
        <v>0</v>
      </c>
      <c r="X87" s="261">
        <v>27000000</v>
      </c>
      <c r="Y87" s="261">
        <v>0</v>
      </c>
      <c r="Z87" s="261">
        <v>33955550</v>
      </c>
      <c r="AA87" s="261">
        <v>1140000</v>
      </c>
      <c r="AB87" s="261">
        <v>7342714</v>
      </c>
      <c r="AC87" s="261">
        <v>26612836</v>
      </c>
      <c r="AD87" s="261">
        <v>1140000</v>
      </c>
      <c r="AE87" s="261">
        <v>5342714</v>
      </c>
      <c r="AF87" s="261">
        <v>2000000</v>
      </c>
      <c r="AG87" s="261">
        <v>3140000</v>
      </c>
      <c r="AH87" s="261">
        <v>17342714</v>
      </c>
      <c r="AI87" s="261">
        <v>10000000</v>
      </c>
      <c r="AJ87" s="261">
        <v>16612836</v>
      </c>
      <c r="AK87" s="261">
        <v>0</v>
      </c>
      <c r="AL87" s="261">
        <v>2000000</v>
      </c>
      <c r="AM87" s="261">
        <v>16202714</v>
      </c>
      <c r="AN87" s="261">
        <v>16202714</v>
      </c>
      <c r="AO87" s="261">
        <v>10000000</v>
      </c>
      <c r="AP87" s="261">
        <v>17752836</v>
      </c>
      <c r="AQ87" s="9"/>
      <c r="AS87" s="9"/>
    </row>
    <row r="88" spans="1:45" x14ac:dyDescent="0.25">
      <c r="A88" s="2" t="s">
        <v>135</v>
      </c>
      <c r="B88" s="259" t="s">
        <v>136</v>
      </c>
      <c r="C88" s="261">
        <v>3000000</v>
      </c>
      <c r="D88" s="261">
        <v>0</v>
      </c>
      <c r="E88" s="261">
        <v>0</v>
      </c>
      <c r="F88" s="261">
        <v>0</v>
      </c>
      <c r="G88" s="261">
        <f>+C88+D88-E88+F88</f>
        <v>3000000</v>
      </c>
      <c r="H88" s="261">
        <v>0</v>
      </c>
      <c r="I88" s="261">
        <v>0</v>
      </c>
      <c r="J88" s="261">
        <f t="shared" si="47"/>
        <v>3000000</v>
      </c>
      <c r="K88" s="261">
        <v>0</v>
      </c>
      <c r="L88" s="261">
        <v>0</v>
      </c>
      <c r="M88" s="261">
        <f t="shared" si="57"/>
        <v>0</v>
      </c>
      <c r="N88" s="261">
        <v>0</v>
      </c>
      <c r="O88" s="261">
        <v>0</v>
      </c>
      <c r="P88" s="261">
        <f t="shared" si="48"/>
        <v>0</v>
      </c>
      <c r="Q88" s="177">
        <f t="shared" si="49"/>
        <v>3000000</v>
      </c>
      <c r="R88" s="261">
        <f t="shared" si="50"/>
        <v>0</v>
      </c>
      <c r="T88" s="183" t="s">
        <v>135</v>
      </c>
      <c r="U88" s="259" t="s">
        <v>136</v>
      </c>
      <c r="V88" s="261">
        <v>3000000</v>
      </c>
      <c r="W88" s="261">
        <v>0</v>
      </c>
      <c r="X88" s="261">
        <v>0</v>
      </c>
      <c r="Y88" s="261">
        <v>0</v>
      </c>
      <c r="Z88" s="261">
        <v>3000000</v>
      </c>
      <c r="AA88" s="261">
        <v>0</v>
      </c>
      <c r="AB88" s="261">
        <v>0</v>
      </c>
      <c r="AC88" s="261">
        <v>3000000</v>
      </c>
      <c r="AD88" s="261">
        <v>0</v>
      </c>
      <c r="AE88" s="261">
        <v>0</v>
      </c>
      <c r="AF88" s="261">
        <v>0</v>
      </c>
      <c r="AG88" s="261">
        <v>0</v>
      </c>
      <c r="AH88" s="261">
        <v>0</v>
      </c>
      <c r="AI88" s="261">
        <v>0</v>
      </c>
      <c r="AJ88" s="261">
        <v>3000000</v>
      </c>
      <c r="AK88" s="261">
        <v>0</v>
      </c>
      <c r="AL88" s="261">
        <v>0</v>
      </c>
      <c r="AM88" s="261">
        <v>0</v>
      </c>
      <c r="AN88" s="261">
        <v>0</v>
      </c>
      <c r="AO88" s="261">
        <v>0</v>
      </c>
      <c r="AP88" s="261">
        <v>3000000</v>
      </c>
      <c r="AQ88" s="261"/>
      <c r="AS88" s="261"/>
    </row>
    <row r="89" spans="1:45" x14ac:dyDescent="0.25">
      <c r="A89" s="2" t="s">
        <v>137</v>
      </c>
      <c r="B89" s="259" t="s">
        <v>138</v>
      </c>
      <c r="C89" s="261">
        <v>57955550</v>
      </c>
      <c r="D89" s="261">
        <v>0</v>
      </c>
      <c r="E89" s="261">
        <v>27000000</v>
      </c>
      <c r="F89" s="261">
        <v>0</v>
      </c>
      <c r="G89" s="261">
        <f>+C89+D89-E89+F89</f>
        <v>30955550</v>
      </c>
      <c r="H89" s="261">
        <v>1140000</v>
      </c>
      <c r="I89" s="261">
        <v>7342714</v>
      </c>
      <c r="J89" s="261">
        <f t="shared" si="47"/>
        <v>23612836</v>
      </c>
      <c r="K89" s="261">
        <v>1140000</v>
      </c>
      <c r="L89" s="261">
        <v>5342714</v>
      </c>
      <c r="M89" s="261">
        <f t="shared" si="57"/>
        <v>2000000</v>
      </c>
      <c r="N89" s="261">
        <v>3140000</v>
      </c>
      <c r="O89" s="261">
        <v>17342714</v>
      </c>
      <c r="P89" s="261">
        <f t="shared" si="48"/>
        <v>10000000</v>
      </c>
      <c r="Q89" s="177">
        <f t="shared" si="49"/>
        <v>13612836</v>
      </c>
      <c r="R89" s="261">
        <f t="shared" si="50"/>
        <v>5342714</v>
      </c>
      <c r="T89" s="183" t="s">
        <v>137</v>
      </c>
      <c r="U89" s="259" t="s">
        <v>138</v>
      </c>
      <c r="V89" s="261">
        <v>57955550</v>
      </c>
      <c r="W89" s="261">
        <v>0</v>
      </c>
      <c r="X89" s="261">
        <v>27000000</v>
      </c>
      <c r="Y89" s="261">
        <v>0</v>
      </c>
      <c r="Z89" s="261">
        <v>30955550</v>
      </c>
      <c r="AA89" s="261">
        <v>1140000</v>
      </c>
      <c r="AB89" s="261">
        <v>7342714</v>
      </c>
      <c r="AC89" s="261">
        <v>23612836</v>
      </c>
      <c r="AD89" s="261">
        <v>1140000</v>
      </c>
      <c r="AE89" s="261">
        <v>5342714</v>
      </c>
      <c r="AF89" s="261">
        <v>2000000</v>
      </c>
      <c r="AG89" s="261">
        <v>3140000</v>
      </c>
      <c r="AH89" s="261">
        <v>17342714</v>
      </c>
      <c r="AI89" s="261">
        <v>10000000</v>
      </c>
      <c r="AJ89" s="261">
        <v>13612836</v>
      </c>
      <c r="AK89" s="261">
        <v>0</v>
      </c>
      <c r="AL89" s="261">
        <v>2000000</v>
      </c>
      <c r="AM89" s="261">
        <v>16202714</v>
      </c>
      <c r="AN89" s="261">
        <v>16202714</v>
      </c>
      <c r="AO89" s="261">
        <v>10000000</v>
      </c>
      <c r="AP89" s="261">
        <v>14752836</v>
      </c>
      <c r="AQ89" s="261"/>
      <c r="AS89" s="261"/>
    </row>
    <row r="90" spans="1:45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 t="shared" ref="D90:R90" si="60">+D91+D92+D93</f>
        <v>0</v>
      </c>
      <c r="E90" s="9">
        <f t="shared" si="60"/>
        <v>0</v>
      </c>
      <c r="F90" s="9">
        <f t="shared" si="60"/>
        <v>0</v>
      </c>
      <c r="G90" s="9">
        <f t="shared" si="60"/>
        <v>65000000</v>
      </c>
      <c r="H90" s="9">
        <f t="shared" si="60"/>
        <v>2945466</v>
      </c>
      <c r="I90" s="9">
        <f t="shared" si="60"/>
        <v>13734466</v>
      </c>
      <c r="J90" s="9">
        <f t="shared" si="47"/>
        <v>51265534</v>
      </c>
      <c r="K90" s="9">
        <f t="shared" si="60"/>
        <v>798600</v>
      </c>
      <c r="L90" s="9">
        <f t="shared" si="60"/>
        <v>5587600</v>
      </c>
      <c r="M90" s="9">
        <f t="shared" si="60"/>
        <v>8146866</v>
      </c>
      <c r="N90" s="9">
        <f t="shared" si="60"/>
        <v>6445466</v>
      </c>
      <c r="O90" s="9">
        <f t="shared" si="60"/>
        <v>21679652</v>
      </c>
      <c r="P90" s="9">
        <f t="shared" si="60"/>
        <v>7945186</v>
      </c>
      <c r="Q90" s="9">
        <f t="shared" si="49"/>
        <v>43320348</v>
      </c>
      <c r="R90" s="9">
        <f t="shared" si="60"/>
        <v>5587600</v>
      </c>
      <c r="T90" s="183" t="s">
        <v>139</v>
      </c>
      <c r="U90" s="259" t="s">
        <v>140</v>
      </c>
      <c r="V90" s="261">
        <v>65000000</v>
      </c>
      <c r="W90" s="261">
        <v>0</v>
      </c>
      <c r="X90" s="261">
        <v>0</v>
      </c>
      <c r="Y90" s="261">
        <v>0</v>
      </c>
      <c r="Z90" s="261">
        <v>65000000</v>
      </c>
      <c r="AA90" s="261">
        <v>2945466</v>
      </c>
      <c r="AB90" s="261">
        <v>13734466</v>
      </c>
      <c r="AC90" s="261">
        <v>51265534</v>
      </c>
      <c r="AD90" s="261">
        <v>798600</v>
      </c>
      <c r="AE90" s="261">
        <v>5587600</v>
      </c>
      <c r="AF90" s="261">
        <v>8146866</v>
      </c>
      <c r="AG90" s="261">
        <v>6445466</v>
      </c>
      <c r="AH90" s="261">
        <v>21679652</v>
      </c>
      <c r="AI90" s="261">
        <v>7945186</v>
      </c>
      <c r="AJ90" s="261">
        <v>43320348</v>
      </c>
      <c r="AK90" s="261">
        <v>0</v>
      </c>
      <c r="AL90" s="261">
        <v>3500000</v>
      </c>
      <c r="AM90" s="261">
        <v>18734186</v>
      </c>
      <c r="AN90" s="261">
        <v>18734186</v>
      </c>
      <c r="AO90" s="261">
        <v>7945186</v>
      </c>
      <c r="AP90" s="261">
        <v>46265814</v>
      </c>
      <c r="AQ90" s="9"/>
      <c r="AS90" s="9"/>
    </row>
    <row r="91" spans="1:45" x14ac:dyDescent="0.25">
      <c r="A91" s="2" t="s">
        <v>141</v>
      </c>
      <c r="B91" s="259" t="s">
        <v>142</v>
      </c>
      <c r="C91" s="261">
        <v>30000000</v>
      </c>
      <c r="D91" s="261">
        <v>0</v>
      </c>
      <c r="E91" s="261">
        <v>0</v>
      </c>
      <c r="F91" s="261">
        <v>0</v>
      </c>
      <c r="G91" s="261">
        <f>+C91+D91-E91+F91</f>
        <v>30000000</v>
      </c>
      <c r="H91" s="261">
        <v>2945466</v>
      </c>
      <c r="I91" s="261">
        <v>11346466</v>
      </c>
      <c r="J91" s="261">
        <f t="shared" si="47"/>
        <v>18653534</v>
      </c>
      <c r="K91" s="261">
        <v>798600</v>
      </c>
      <c r="L91" s="261">
        <v>4199600</v>
      </c>
      <c r="M91" s="261">
        <f t="shared" si="57"/>
        <v>7146866</v>
      </c>
      <c r="N91" s="261">
        <v>5445466</v>
      </c>
      <c r="O91" s="261">
        <v>18291652</v>
      </c>
      <c r="P91" s="261">
        <f t="shared" si="48"/>
        <v>6945186</v>
      </c>
      <c r="Q91" s="177">
        <f t="shared" si="49"/>
        <v>11708348</v>
      </c>
      <c r="R91" s="261">
        <f t="shared" si="50"/>
        <v>4199600</v>
      </c>
      <c r="T91" s="183" t="s">
        <v>141</v>
      </c>
      <c r="U91" s="259" t="s">
        <v>142</v>
      </c>
      <c r="V91" s="261">
        <v>30000000</v>
      </c>
      <c r="W91" s="261">
        <v>0</v>
      </c>
      <c r="X91" s="261">
        <v>0</v>
      </c>
      <c r="Y91" s="261">
        <v>0</v>
      </c>
      <c r="Z91" s="261">
        <v>30000000</v>
      </c>
      <c r="AA91" s="261">
        <v>2945466</v>
      </c>
      <c r="AB91" s="261">
        <v>11346466</v>
      </c>
      <c r="AC91" s="261">
        <v>18653534</v>
      </c>
      <c r="AD91" s="261">
        <v>798600</v>
      </c>
      <c r="AE91" s="261">
        <v>4199600</v>
      </c>
      <c r="AF91" s="261">
        <v>7146866</v>
      </c>
      <c r="AG91" s="261">
        <v>5445466</v>
      </c>
      <c r="AH91" s="261">
        <v>18291652</v>
      </c>
      <c r="AI91" s="261">
        <v>6945186</v>
      </c>
      <c r="AJ91" s="261">
        <v>11708348</v>
      </c>
      <c r="AK91" s="261">
        <v>0</v>
      </c>
      <c r="AL91" s="261">
        <v>2500000</v>
      </c>
      <c r="AM91" s="261">
        <v>15346186</v>
      </c>
      <c r="AN91" s="261">
        <v>15346186</v>
      </c>
      <c r="AO91" s="261">
        <v>6945186</v>
      </c>
      <c r="AP91" s="261">
        <v>14653814</v>
      </c>
      <c r="AQ91" s="261"/>
      <c r="AS91" s="261"/>
    </row>
    <row r="92" spans="1:45" x14ac:dyDescent="0.25">
      <c r="A92" s="2" t="s">
        <v>143</v>
      </c>
      <c r="B92" s="259" t="s">
        <v>144</v>
      </c>
      <c r="C92" s="261">
        <v>5000000</v>
      </c>
      <c r="D92" s="261">
        <v>0</v>
      </c>
      <c r="E92" s="261">
        <v>0</v>
      </c>
      <c r="F92" s="261">
        <v>0</v>
      </c>
      <c r="G92" s="261">
        <f>+C92+D92-E92+F92</f>
        <v>5000000</v>
      </c>
      <c r="H92" s="261">
        <v>0</v>
      </c>
      <c r="I92" s="261">
        <v>0</v>
      </c>
      <c r="J92" s="261">
        <f t="shared" si="47"/>
        <v>5000000</v>
      </c>
      <c r="K92" s="261">
        <v>0</v>
      </c>
      <c r="L92" s="261">
        <v>0</v>
      </c>
      <c r="M92" s="261">
        <f t="shared" si="57"/>
        <v>0</v>
      </c>
      <c r="N92" s="261">
        <v>0</v>
      </c>
      <c r="O92" s="261">
        <v>0</v>
      </c>
      <c r="P92" s="261">
        <f t="shared" si="48"/>
        <v>0</v>
      </c>
      <c r="Q92" s="177">
        <f t="shared" si="49"/>
        <v>5000000</v>
      </c>
      <c r="R92" s="261">
        <f t="shared" si="50"/>
        <v>0</v>
      </c>
      <c r="T92" s="183" t="s">
        <v>143</v>
      </c>
      <c r="U92" s="259" t="s">
        <v>144</v>
      </c>
      <c r="V92" s="261">
        <v>5000000</v>
      </c>
      <c r="W92" s="261">
        <v>0</v>
      </c>
      <c r="X92" s="261">
        <v>0</v>
      </c>
      <c r="Y92" s="261">
        <v>0</v>
      </c>
      <c r="Z92" s="261">
        <v>5000000</v>
      </c>
      <c r="AA92" s="261">
        <v>0</v>
      </c>
      <c r="AB92" s="261">
        <v>0</v>
      </c>
      <c r="AC92" s="261">
        <v>5000000</v>
      </c>
      <c r="AD92" s="261">
        <v>0</v>
      </c>
      <c r="AE92" s="261">
        <v>0</v>
      </c>
      <c r="AF92" s="261">
        <v>0</v>
      </c>
      <c r="AG92" s="261">
        <v>0</v>
      </c>
      <c r="AH92" s="261">
        <v>0</v>
      </c>
      <c r="AI92" s="261">
        <v>0</v>
      </c>
      <c r="AJ92" s="261">
        <v>5000000</v>
      </c>
      <c r="AK92" s="261">
        <v>0</v>
      </c>
      <c r="AL92" s="261">
        <v>0</v>
      </c>
      <c r="AM92" s="261">
        <v>0</v>
      </c>
      <c r="AN92" s="261">
        <v>0</v>
      </c>
      <c r="AO92" s="261">
        <v>0</v>
      </c>
      <c r="AP92" s="261">
        <v>5000000</v>
      </c>
      <c r="AQ92" s="261"/>
      <c r="AS92" s="261"/>
    </row>
    <row r="93" spans="1:45" x14ac:dyDescent="0.25">
      <c r="A93" s="2" t="s">
        <v>145</v>
      </c>
      <c r="B93" s="259" t="s">
        <v>146</v>
      </c>
      <c r="C93" s="261">
        <v>30000000</v>
      </c>
      <c r="D93" s="261">
        <v>0</v>
      </c>
      <c r="E93" s="261">
        <v>0</v>
      </c>
      <c r="F93" s="261">
        <v>0</v>
      </c>
      <c r="G93" s="261">
        <f>+C93+D93-E93+F93</f>
        <v>30000000</v>
      </c>
      <c r="H93" s="261">
        <v>0</v>
      </c>
      <c r="I93" s="261">
        <v>2388000</v>
      </c>
      <c r="J93" s="261">
        <f t="shared" si="47"/>
        <v>27612000</v>
      </c>
      <c r="K93" s="261">
        <v>0</v>
      </c>
      <c r="L93" s="261">
        <v>1388000</v>
      </c>
      <c r="M93" s="261">
        <f t="shared" si="57"/>
        <v>1000000</v>
      </c>
      <c r="N93" s="261">
        <v>1000000</v>
      </c>
      <c r="O93" s="261">
        <v>3388000</v>
      </c>
      <c r="P93" s="261">
        <f t="shared" si="48"/>
        <v>1000000</v>
      </c>
      <c r="Q93" s="177">
        <f t="shared" si="49"/>
        <v>26612000</v>
      </c>
      <c r="R93" s="261">
        <f t="shared" si="50"/>
        <v>1388000</v>
      </c>
      <c r="T93" s="183" t="s">
        <v>145</v>
      </c>
      <c r="U93" s="259" t="s">
        <v>146</v>
      </c>
      <c r="V93" s="261">
        <v>30000000</v>
      </c>
      <c r="W93" s="261">
        <v>0</v>
      </c>
      <c r="X93" s="261">
        <v>0</v>
      </c>
      <c r="Y93" s="261">
        <v>0</v>
      </c>
      <c r="Z93" s="261">
        <v>30000000</v>
      </c>
      <c r="AA93" s="261">
        <v>0</v>
      </c>
      <c r="AB93" s="261">
        <v>2388000</v>
      </c>
      <c r="AC93" s="261">
        <v>27612000</v>
      </c>
      <c r="AD93" s="261">
        <v>0</v>
      </c>
      <c r="AE93" s="261">
        <v>1388000</v>
      </c>
      <c r="AF93" s="261">
        <v>1000000</v>
      </c>
      <c r="AG93" s="261">
        <v>1000000</v>
      </c>
      <c r="AH93" s="261">
        <v>3388000</v>
      </c>
      <c r="AI93" s="261">
        <v>1000000</v>
      </c>
      <c r="AJ93" s="261">
        <v>26612000</v>
      </c>
      <c r="AK93" s="261">
        <v>0</v>
      </c>
      <c r="AL93" s="261">
        <v>1000000</v>
      </c>
      <c r="AM93" s="261">
        <v>3388000</v>
      </c>
      <c r="AN93" s="261">
        <v>3388000</v>
      </c>
      <c r="AO93" s="261">
        <v>1000000</v>
      </c>
      <c r="AP93" s="261">
        <v>26612000</v>
      </c>
      <c r="AQ93" s="261"/>
      <c r="AS93" s="261"/>
    </row>
    <row r="94" spans="1:45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 t="shared" ref="D94:R94" si="61">+D95+D96</f>
        <v>0</v>
      </c>
      <c r="E94" s="9">
        <f t="shared" si="61"/>
        <v>0</v>
      </c>
      <c r="F94" s="9">
        <f t="shared" si="61"/>
        <v>0</v>
      </c>
      <c r="G94" s="9">
        <f t="shared" si="61"/>
        <v>60000000</v>
      </c>
      <c r="H94" s="9">
        <f t="shared" si="61"/>
        <v>6871060</v>
      </c>
      <c r="I94" s="9">
        <f t="shared" si="61"/>
        <v>13104510</v>
      </c>
      <c r="J94" s="9">
        <f t="shared" si="47"/>
        <v>46895490</v>
      </c>
      <c r="K94" s="9">
        <f t="shared" si="61"/>
        <v>0</v>
      </c>
      <c r="L94" s="9">
        <f t="shared" si="61"/>
        <v>1933450</v>
      </c>
      <c r="M94" s="9">
        <f t="shared" si="61"/>
        <v>11171060</v>
      </c>
      <c r="N94" s="9">
        <f t="shared" si="61"/>
        <v>24640270</v>
      </c>
      <c r="O94" s="9">
        <f t="shared" si="61"/>
        <v>36523720</v>
      </c>
      <c r="P94" s="9">
        <f t="shared" si="61"/>
        <v>23419210</v>
      </c>
      <c r="Q94" s="9">
        <f t="shared" si="49"/>
        <v>23476280</v>
      </c>
      <c r="R94" s="9">
        <f t="shared" si="61"/>
        <v>1933450</v>
      </c>
      <c r="T94" s="183" t="s">
        <v>147</v>
      </c>
      <c r="U94" s="259" t="s">
        <v>148</v>
      </c>
      <c r="V94" s="261">
        <v>60000000</v>
      </c>
      <c r="W94" s="261">
        <v>0</v>
      </c>
      <c r="X94" s="261">
        <v>0</v>
      </c>
      <c r="Y94" s="261">
        <v>0</v>
      </c>
      <c r="Z94" s="261">
        <v>60000000</v>
      </c>
      <c r="AA94" s="261">
        <v>6871060</v>
      </c>
      <c r="AB94" s="261">
        <v>13104510</v>
      </c>
      <c r="AC94" s="261">
        <v>46895490</v>
      </c>
      <c r="AD94" s="261">
        <v>0</v>
      </c>
      <c r="AE94" s="261">
        <v>1933450</v>
      </c>
      <c r="AF94" s="261">
        <v>11171060</v>
      </c>
      <c r="AG94" s="261">
        <v>24640270</v>
      </c>
      <c r="AH94" s="261">
        <v>38323720</v>
      </c>
      <c r="AI94" s="261">
        <v>25219210</v>
      </c>
      <c r="AJ94" s="261">
        <v>21676280</v>
      </c>
      <c r="AK94" s="261">
        <v>0</v>
      </c>
      <c r="AL94" s="261">
        <v>24640270</v>
      </c>
      <c r="AM94" s="261">
        <v>38323720</v>
      </c>
      <c r="AN94" s="261">
        <v>38323720</v>
      </c>
      <c r="AO94" s="261">
        <v>32090270</v>
      </c>
      <c r="AP94" s="261">
        <v>21676280</v>
      </c>
      <c r="AQ94" s="9"/>
      <c r="AS94" s="9"/>
    </row>
    <row r="95" spans="1:45" x14ac:dyDescent="0.25">
      <c r="A95" s="2" t="s">
        <v>149</v>
      </c>
      <c r="B95" s="259" t="s">
        <v>150</v>
      </c>
      <c r="C95" s="261">
        <v>30000000</v>
      </c>
      <c r="D95" s="261">
        <v>0</v>
      </c>
      <c r="E95" s="261">
        <v>0</v>
      </c>
      <c r="F95" s="261">
        <v>0</v>
      </c>
      <c r="G95" s="261">
        <f>+C95+D95-E95+F95</f>
        <v>30000000</v>
      </c>
      <c r="H95" s="261">
        <v>0</v>
      </c>
      <c r="I95" s="261">
        <v>1500000</v>
      </c>
      <c r="J95" s="261">
        <f t="shared" si="47"/>
        <v>28500000</v>
      </c>
      <c r="K95" s="261">
        <v>0</v>
      </c>
      <c r="L95" s="261">
        <v>0</v>
      </c>
      <c r="M95" s="261">
        <f t="shared" si="57"/>
        <v>1500000</v>
      </c>
      <c r="N95" s="261">
        <v>5023720</v>
      </c>
      <c r="O95" s="261">
        <v>6523720</v>
      </c>
      <c r="P95" s="261">
        <f t="shared" si="48"/>
        <v>5023720</v>
      </c>
      <c r="Q95" s="177">
        <f t="shared" si="49"/>
        <v>23476280</v>
      </c>
      <c r="R95" s="261">
        <f t="shared" si="50"/>
        <v>0</v>
      </c>
      <c r="T95" s="183" t="s">
        <v>149</v>
      </c>
      <c r="U95" s="259" t="s">
        <v>150</v>
      </c>
      <c r="V95" s="261">
        <v>30000000</v>
      </c>
      <c r="W95" s="261">
        <v>0</v>
      </c>
      <c r="X95" s="261">
        <v>0</v>
      </c>
      <c r="Y95" s="261">
        <v>0</v>
      </c>
      <c r="Z95" s="261">
        <v>30000000</v>
      </c>
      <c r="AA95" s="261">
        <v>0</v>
      </c>
      <c r="AB95" s="261">
        <v>1500000</v>
      </c>
      <c r="AC95" s="261">
        <v>28500000</v>
      </c>
      <c r="AD95" s="261">
        <v>0</v>
      </c>
      <c r="AE95" s="261">
        <v>0</v>
      </c>
      <c r="AF95" s="261">
        <v>1500000</v>
      </c>
      <c r="AG95" s="261">
        <v>5023720</v>
      </c>
      <c r="AH95" s="261">
        <v>6523720</v>
      </c>
      <c r="AI95" s="261">
        <v>5023720</v>
      </c>
      <c r="AJ95" s="261">
        <v>23476280</v>
      </c>
      <c r="AK95" s="261">
        <v>0</v>
      </c>
      <c r="AL95" s="261">
        <v>5023720</v>
      </c>
      <c r="AM95" s="261">
        <v>6523720</v>
      </c>
      <c r="AN95" s="261">
        <v>6523720</v>
      </c>
      <c r="AO95" s="261">
        <v>5023720</v>
      </c>
      <c r="AP95" s="261">
        <v>23476280</v>
      </c>
      <c r="AQ95" s="261"/>
      <c r="AS95" s="261"/>
    </row>
    <row r="96" spans="1:45" x14ac:dyDescent="0.25">
      <c r="A96" s="2" t="s">
        <v>151</v>
      </c>
      <c r="B96" s="259" t="s">
        <v>152</v>
      </c>
      <c r="C96" s="261">
        <v>30000000</v>
      </c>
      <c r="D96" s="261">
        <v>0</v>
      </c>
      <c r="E96" s="261">
        <v>0</v>
      </c>
      <c r="F96" s="261">
        <v>0</v>
      </c>
      <c r="G96" s="261">
        <f>+C96+D96-E96+F96</f>
        <v>30000000</v>
      </c>
      <c r="H96" s="261">
        <v>6871060</v>
      </c>
      <c r="I96" s="261">
        <v>11604510</v>
      </c>
      <c r="J96" s="261">
        <f t="shared" si="47"/>
        <v>18395490</v>
      </c>
      <c r="K96" s="261">
        <v>0</v>
      </c>
      <c r="L96" s="261">
        <v>1933450</v>
      </c>
      <c r="M96" s="261">
        <f t="shared" si="57"/>
        <v>9671060</v>
      </c>
      <c r="N96" s="261">
        <v>19616550</v>
      </c>
      <c r="O96" s="261">
        <v>30000000</v>
      </c>
      <c r="P96" s="261">
        <f t="shared" si="48"/>
        <v>18395490</v>
      </c>
      <c r="Q96" s="177">
        <f t="shared" si="49"/>
        <v>0</v>
      </c>
      <c r="R96" s="261">
        <f t="shared" si="50"/>
        <v>1933450</v>
      </c>
      <c r="T96" s="183" t="s">
        <v>151</v>
      </c>
      <c r="U96" s="259" t="s">
        <v>152</v>
      </c>
      <c r="V96" s="261">
        <v>30000000</v>
      </c>
      <c r="W96" s="261">
        <v>0</v>
      </c>
      <c r="X96" s="261">
        <v>0</v>
      </c>
      <c r="Y96" s="261">
        <v>0</v>
      </c>
      <c r="Z96" s="261">
        <v>30000000</v>
      </c>
      <c r="AA96" s="261">
        <v>6871060</v>
      </c>
      <c r="AB96" s="261">
        <v>11604510</v>
      </c>
      <c r="AC96" s="261">
        <v>18395490</v>
      </c>
      <c r="AD96" s="261">
        <v>0</v>
      </c>
      <c r="AE96" s="261">
        <v>1933450</v>
      </c>
      <c r="AF96" s="261">
        <v>9671060</v>
      </c>
      <c r="AG96" s="261">
        <v>19616550</v>
      </c>
      <c r="AH96" s="261">
        <v>31800000</v>
      </c>
      <c r="AI96" s="261">
        <v>20195490</v>
      </c>
      <c r="AJ96" s="261">
        <v>-1800000</v>
      </c>
      <c r="AK96" s="261">
        <v>0</v>
      </c>
      <c r="AL96" s="261">
        <v>19616550</v>
      </c>
      <c r="AM96" s="261">
        <v>31800000</v>
      </c>
      <c r="AN96" s="261">
        <v>31800000</v>
      </c>
      <c r="AO96" s="261">
        <v>27066550</v>
      </c>
      <c r="AP96" s="261">
        <v>-1800000</v>
      </c>
      <c r="AQ96" s="261"/>
      <c r="AS96" s="261"/>
    </row>
    <row r="97" spans="1:45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 t="shared" ref="D97:R97" si="62">SUM(D98:D101)</f>
        <v>0</v>
      </c>
      <c r="E97" s="9">
        <f t="shared" si="62"/>
        <v>0</v>
      </c>
      <c r="F97" s="9">
        <f t="shared" si="62"/>
        <v>0</v>
      </c>
      <c r="G97" s="9">
        <f t="shared" si="62"/>
        <v>44100000</v>
      </c>
      <c r="H97" s="9">
        <f t="shared" si="62"/>
        <v>1615187</v>
      </c>
      <c r="I97" s="9">
        <f t="shared" si="62"/>
        <v>6618787.1200000001</v>
      </c>
      <c r="J97" s="9">
        <f t="shared" si="47"/>
        <v>37481212.880000003</v>
      </c>
      <c r="K97" s="9">
        <f t="shared" si="62"/>
        <v>0</v>
      </c>
      <c r="L97" s="9">
        <f t="shared" si="62"/>
        <v>1203600.1200000001</v>
      </c>
      <c r="M97" s="9">
        <f t="shared" si="62"/>
        <v>5415187</v>
      </c>
      <c r="N97" s="9">
        <f t="shared" si="62"/>
        <v>3800000</v>
      </c>
      <c r="O97" s="9">
        <f t="shared" si="62"/>
        <v>10473600.120000001</v>
      </c>
      <c r="P97" s="9">
        <f t="shared" si="62"/>
        <v>3854813</v>
      </c>
      <c r="Q97" s="9">
        <f t="shared" si="49"/>
        <v>33626399.879999995</v>
      </c>
      <c r="R97" s="9">
        <f t="shared" si="62"/>
        <v>1203600.1200000001</v>
      </c>
      <c r="T97" s="183" t="s">
        <v>153</v>
      </c>
      <c r="U97" s="259" t="s">
        <v>154</v>
      </c>
      <c r="V97" s="261">
        <v>44100000</v>
      </c>
      <c r="W97" s="261">
        <v>0</v>
      </c>
      <c r="X97" s="261">
        <v>0</v>
      </c>
      <c r="Y97" s="261">
        <v>0</v>
      </c>
      <c r="Z97" s="261">
        <v>44100000</v>
      </c>
      <c r="AA97" s="261">
        <v>1615187</v>
      </c>
      <c r="AB97" s="261">
        <v>6618787.1200000001</v>
      </c>
      <c r="AC97" s="261">
        <v>37481212.880000003</v>
      </c>
      <c r="AD97" s="261">
        <v>0</v>
      </c>
      <c r="AE97" s="261">
        <v>1203600.1200000001</v>
      </c>
      <c r="AF97" s="261">
        <v>5415187</v>
      </c>
      <c r="AG97" s="261">
        <v>3800000</v>
      </c>
      <c r="AH97" s="261">
        <v>10473600.120000001</v>
      </c>
      <c r="AI97" s="261">
        <v>3854813.0000000009</v>
      </c>
      <c r="AJ97" s="261">
        <v>33626399.879999995</v>
      </c>
      <c r="AK97" s="261">
        <v>0</v>
      </c>
      <c r="AL97" s="261">
        <v>3800000</v>
      </c>
      <c r="AM97" s="261">
        <v>10473600.120000001</v>
      </c>
      <c r="AN97" s="261">
        <v>10473600.120000001</v>
      </c>
      <c r="AO97" s="261">
        <v>3854813.0000000009</v>
      </c>
      <c r="AP97" s="261">
        <v>33626399.879999995</v>
      </c>
      <c r="AQ97" s="9"/>
      <c r="AS97" s="9"/>
    </row>
    <row r="98" spans="1:45" x14ac:dyDescent="0.25">
      <c r="A98" s="2" t="s">
        <v>155</v>
      </c>
      <c r="B98" s="259" t="s">
        <v>156</v>
      </c>
      <c r="C98" s="261">
        <v>200000</v>
      </c>
      <c r="D98" s="261">
        <v>0</v>
      </c>
      <c r="E98" s="261">
        <v>0</v>
      </c>
      <c r="F98" s="261">
        <v>0</v>
      </c>
      <c r="G98" s="261">
        <f>+C98+D98-E98+F98</f>
        <v>200000</v>
      </c>
      <c r="H98" s="261">
        <v>0</v>
      </c>
      <c r="I98" s="261">
        <v>200000</v>
      </c>
      <c r="J98" s="261">
        <f t="shared" si="47"/>
        <v>0</v>
      </c>
      <c r="K98" s="261">
        <v>0</v>
      </c>
      <c r="L98" s="261">
        <v>200000</v>
      </c>
      <c r="M98" s="261">
        <f t="shared" si="57"/>
        <v>0</v>
      </c>
      <c r="N98" s="261">
        <v>0</v>
      </c>
      <c r="O98" s="261">
        <v>200000</v>
      </c>
      <c r="P98" s="261">
        <f t="shared" si="48"/>
        <v>0</v>
      </c>
      <c r="Q98" s="177">
        <f t="shared" si="49"/>
        <v>0</v>
      </c>
      <c r="R98" s="261">
        <f t="shared" si="50"/>
        <v>200000</v>
      </c>
      <c r="T98" s="183" t="s">
        <v>155</v>
      </c>
      <c r="U98" s="259" t="s">
        <v>156</v>
      </c>
      <c r="V98" s="261">
        <v>200000</v>
      </c>
      <c r="W98" s="261">
        <v>0</v>
      </c>
      <c r="X98" s="261">
        <v>0</v>
      </c>
      <c r="Y98" s="261">
        <v>0</v>
      </c>
      <c r="Z98" s="261">
        <v>200000</v>
      </c>
      <c r="AA98" s="261">
        <v>0</v>
      </c>
      <c r="AB98" s="261">
        <v>200000</v>
      </c>
      <c r="AC98" s="261">
        <v>0</v>
      </c>
      <c r="AD98" s="261">
        <v>0</v>
      </c>
      <c r="AE98" s="261">
        <v>200000</v>
      </c>
      <c r="AF98" s="261">
        <v>0</v>
      </c>
      <c r="AG98" s="261">
        <v>0</v>
      </c>
      <c r="AH98" s="261">
        <v>200000</v>
      </c>
      <c r="AI98" s="261">
        <v>0</v>
      </c>
      <c r="AJ98" s="261">
        <v>0</v>
      </c>
      <c r="AK98" s="261">
        <v>0</v>
      </c>
      <c r="AL98" s="261">
        <v>0</v>
      </c>
      <c r="AM98" s="261">
        <v>200000</v>
      </c>
      <c r="AN98" s="261">
        <v>200000</v>
      </c>
      <c r="AO98" s="261">
        <v>0</v>
      </c>
      <c r="AP98" s="261">
        <v>0</v>
      </c>
      <c r="AQ98" s="261"/>
      <c r="AS98" s="261"/>
    </row>
    <row r="99" spans="1:45" x14ac:dyDescent="0.25">
      <c r="A99" s="2" t="s">
        <v>157</v>
      </c>
      <c r="B99" s="259" t="s">
        <v>158</v>
      </c>
      <c r="C99" s="261">
        <v>2000000</v>
      </c>
      <c r="D99" s="261">
        <v>0</v>
      </c>
      <c r="E99" s="261">
        <v>0</v>
      </c>
      <c r="F99" s="261">
        <v>0</v>
      </c>
      <c r="G99" s="261">
        <f>+C99+D99-E99+F99</f>
        <v>2000000</v>
      </c>
      <c r="H99" s="261">
        <v>0</v>
      </c>
      <c r="I99" s="261">
        <v>0</v>
      </c>
      <c r="J99" s="261">
        <f t="shared" si="47"/>
        <v>2000000</v>
      </c>
      <c r="K99" s="261">
        <v>0</v>
      </c>
      <c r="L99" s="261">
        <v>0</v>
      </c>
      <c r="M99" s="261">
        <f t="shared" si="57"/>
        <v>0</v>
      </c>
      <c r="N99" s="261">
        <v>0</v>
      </c>
      <c r="O99" s="261">
        <v>0</v>
      </c>
      <c r="P99" s="261">
        <f t="shared" si="48"/>
        <v>0</v>
      </c>
      <c r="Q99" s="177">
        <f t="shared" si="49"/>
        <v>2000000</v>
      </c>
      <c r="R99" s="261">
        <f t="shared" si="50"/>
        <v>0</v>
      </c>
      <c r="T99" s="183" t="s">
        <v>157</v>
      </c>
      <c r="U99" s="259" t="s">
        <v>158</v>
      </c>
      <c r="V99" s="261">
        <v>2000000</v>
      </c>
      <c r="W99" s="261">
        <v>0</v>
      </c>
      <c r="X99" s="261">
        <v>0</v>
      </c>
      <c r="Y99" s="261">
        <v>0</v>
      </c>
      <c r="Z99" s="261">
        <v>2000000</v>
      </c>
      <c r="AA99" s="261">
        <v>0</v>
      </c>
      <c r="AB99" s="261">
        <v>0</v>
      </c>
      <c r="AC99" s="261">
        <v>2000000</v>
      </c>
      <c r="AD99" s="261">
        <v>0</v>
      </c>
      <c r="AE99" s="261">
        <v>0</v>
      </c>
      <c r="AF99" s="261">
        <v>0</v>
      </c>
      <c r="AG99" s="261">
        <v>0</v>
      </c>
      <c r="AH99" s="261">
        <v>0</v>
      </c>
      <c r="AI99" s="261">
        <v>0</v>
      </c>
      <c r="AJ99" s="261">
        <v>2000000</v>
      </c>
      <c r="AK99" s="261">
        <v>0</v>
      </c>
      <c r="AL99" s="261">
        <v>0</v>
      </c>
      <c r="AM99" s="261">
        <v>0</v>
      </c>
      <c r="AN99" s="261">
        <v>0</v>
      </c>
      <c r="AO99" s="261">
        <v>0</v>
      </c>
      <c r="AP99" s="261">
        <v>2000000</v>
      </c>
      <c r="AQ99" s="261"/>
      <c r="AS99" s="261"/>
    </row>
    <row r="100" spans="1:45" x14ac:dyDescent="0.25">
      <c r="A100" s="2" t="s">
        <v>159</v>
      </c>
      <c r="B100" s="259" t="s">
        <v>160</v>
      </c>
      <c r="C100" s="261">
        <v>12500000</v>
      </c>
      <c r="D100" s="261">
        <v>0</v>
      </c>
      <c r="E100" s="261">
        <v>0</v>
      </c>
      <c r="F100" s="261">
        <v>0</v>
      </c>
      <c r="G100" s="261">
        <f>+C100+D100-E100+F100</f>
        <v>12500000</v>
      </c>
      <c r="H100" s="261">
        <v>0</v>
      </c>
      <c r="I100" s="261">
        <v>1070000</v>
      </c>
      <c r="J100" s="261">
        <f t="shared" si="47"/>
        <v>11430000</v>
      </c>
      <c r="K100" s="261">
        <v>0</v>
      </c>
      <c r="L100" s="261">
        <v>70000</v>
      </c>
      <c r="M100" s="261">
        <f t="shared" si="57"/>
        <v>1000000</v>
      </c>
      <c r="N100" s="261">
        <v>1000000</v>
      </c>
      <c r="O100" s="261">
        <v>2070000</v>
      </c>
      <c r="P100" s="261">
        <f t="shared" si="48"/>
        <v>1000000</v>
      </c>
      <c r="Q100" s="177">
        <f t="shared" si="49"/>
        <v>10430000</v>
      </c>
      <c r="R100" s="261">
        <f t="shared" si="50"/>
        <v>70000</v>
      </c>
      <c r="T100" s="183" t="s">
        <v>159</v>
      </c>
      <c r="U100" s="259" t="s">
        <v>160</v>
      </c>
      <c r="V100" s="261">
        <v>12500000</v>
      </c>
      <c r="W100" s="261">
        <v>0</v>
      </c>
      <c r="X100" s="261">
        <v>0</v>
      </c>
      <c r="Y100" s="261">
        <v>0</v>
      </c>
      <c r="Z100" s="261">
        <v>12500000</v>
      </c>
      <c r="AA100" s="261">
        <v>0</v>
      </c>
      <c r="AB100" s="261">
        <v>1070000</v>
      </c>
      <c r="AC100" s="261">
        <v>11430000</v>
      </c>
      <c r="AD100" s="261">
        <v>0</v>
      </c>
      <c r="AE100" s="261">
        <v>70000</v>
      </c>
      <c r="AF100" s="261">
        <v>1000000</v>
      </c>
      <c r="AG100" s="261">
        <v>1000000</v>
      </c>
      <c r="AH100" s="261">
        <v>2070000</v>
      </c>
      <c r="AI100" s="261">
        <v>1000000</v>
      </c>
      <c r="AJ100" s="261">
        <v>10430000</v>
      </c>
      <c r="AK100" s="261">
        <v>0</v>
      </c>
      <c r="AL100" s="261">
        <v>1000000</v>
      </c>
      <c r="AM100" s="261">
        <v>2070000</v>
      </c>
      <c r="AN100" s="261">
        <v>2070000</v>
      </c>
      <c r="AO100" s="261">
        <v>1000000</v>
      </c>
      <c r="AP100" s="261">
        <v>10430000</v>
      </c>
      <c r="AQ100" s="261"/>
      <c r="AS100" s="261"/>
    </row>
    <row r="101" spans="1:45" x14ac:dyDescent="0.25">
      <c r="A101" s="2" t="s">
        <v>161</v>
      </c>
      <c r="B101" s="259" t="s">
        <v>162</v>
      </c>
      <c r="C101" s="261">
        <v>29400000</v>
      </c>
      <c r="D101" s="261">
        <v>0</v>
      </c>
      <c r="E101" s="261">
        <v>0</v>
      </c>
      <c r="F101" s="261">
        <v>0</v>
      </c>
      <c r="G101" s="261">
        <f>+C101+D101-E101+F101</f>
        <v>29400000</v>
      </c>
      <c r="H101" s="261">
        <v>1615187</v>
      </c>
      <c r="I101" s="261">
        <v>5348787.12</v>
      </c>
      <c r="J101" s="261">
        <f t="shared" si="47"/>
        <v>24051212.879999999</v>
      </c>
      <c r="K101" s="261">
        <v>0</v>
      </c>
      <c r="L101" s="261">
        <v>933600.12</v>
      </c>
      <c r="M101" s="261">
        <f t="shared" si="57"/>
        <v>4415187</v>
      </c>
      <c r="N101" s="261">
        <v>2800000</v>
      </c>
      <c r="O101" s="261">
        <v>8203600.1200000001</v>
      </c>
      <c r="P101" s="261">
        <f t="shared" si="48"/>
        <v>2854813</v>
      </c>
      <c r="Q101" s="177">
        <f t="shared" si="49"/>
        <v>21196399.879999999</v>
      </c>
      <c r="R101" s="261">
        <f t="shared" si="50"/>
        <v>933600.12</v>
      </c>
      <c r="T101" s="183" t="s">
        <v>161</v>
      </c>
      <c r="U101" s="259" t="s">
        <v>162</v>
      </c>
      <c r="V101" s="261">
        <v>29400000</v>
      </c>
      <c r="W101" s="261">
        <v>0</v>
      </c>
      <c r="X101" s="261">
        <v>0</v>
      </c>
      <c r="Y101" s="261">
        <v>0</v>
      </c>
      <c r="Z101" s="261">
        <v>29400000</v>
      </c>
      <c r="AA101" s="261">
        <v>1615187</v>
      </c>
      <c r="AB101" s="261">
        <v>5348787.12</v>
      </c>
      <c r="AC101" s="261">
        <v>24051212.879999999</v>
      </c>
      <c r="AD101" s="261">
        <v>0</v>
      </c>
      <c r="AE101" s="261">
        <v>933600.12</v>
      </c>
      <c r="AF101" s="261">
        <v>4415187</v>
      </c>
      <c r="AG101" s="261">
        <v>2800000</v>
      </c>
      <c r="AH101" s="261">
        <v>8203600.1200000001</v>
      </c>
      <c r="AI101" s="261">
        <v>2854813</v>
      </c>
      <c r="AJ101" s="261">
        <v>21196399.879999999</v>
      </c>
      <c r="AK101" s="261">
        <v>0</v>
      </c>
      <c r="AL101" s="261">
        <v>2800000</v>
      </c>
      <c r="AM101" s="261">
        <v>8203600.1200000001</v>
      </c>
      <c r="AN101" s="261">
        <v>8203600.1200000001</v>
      </c>
      <c r="AO101" s="261">
        <v>2854813</v>
      </c>
      <c r="AP101" s="261">
        <v>21196399.879999999</v>
      </c>
      <c r="AQ101" s="261"/>
      <c r="AS101" s="261"/>
    </row>
    <row r="102" spans="1:45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 t="shared" ref="D102:R102" si="63">+D103</f>
        <v>0</v>
      </c>
      <c r="E102" s="9">
        <f t="shared" si="63"/>
        <v>0</v>
      </c>
      <c r="F102" s="9">
        <f t="shared" si="63"/>
        <v>0</v>
      </c>
      <c r="G102" s="9">
        <f t="shared" si="63"/>
        <v>1000000</v>
      </c>
      <c r="H102" s="9">
        <f t="shared" si="63"/>
        <v>0</v>
      </c>
      <c r="I102" s="9">
        <f t="shared" si="63"/>
        <v>300000</v>
      </c>
      <c r="J102" s="9">
        <f t="shared" si="47"/>
        <v>700000</v>
      </c>
      <c r="K102" s="9">
        <f t="shared" si="63"/>
        <v>0</v>
      </c>
      <c r="L102" s="9">
        <f t="shared" si="63"/>
        <v>300000</v>
      </c>
      <c r="M102" s="9">
        <f t="shared" si="63"/>
        <v>0</v>
      </c>
      <c r="N102" s="9">
        <f t="shared" si="63"/>
        <v>0</v>
      </c>
      <c r="O102" s="9">
        <f t="shared" si="63"/>
        <v>926000</v>
      </c>
      <c r="P102" s="9">
        <f t="shared" si="63"/>
        <v>626000</v>
      </c>
      <c r="Q102" s="9">
        <f t="shared" si="49"/>
        <v>74000</v>
      </c>
      <c r="R102" s="9">
        <f t="shared" si="63"/>
        <v>300000</v>
      </c>
      <c r="T102" s="183" t="s">
        <v>163</v>
      </c>
      <c r="U102" s="259" t="s">
        <v>164</v>
      </c>
      <c r="V102" s="261">
        <v>1000000</v>
      </c>
      <c r="W102" s="261">
        <v>0</v>
      </c>
      <c r="X102" s="261">
        <v>0</v>
      </c>
      <c r="Y102" s="261">
        <v>0</v>
      </c>
      <c r="Z102" s="261">
        <v>1000000</v>
      </c>
      <c r="AA102" s="261">
        <v>0</v>
      </c>
      <c r="AB102" s="261">
        <v>300000</v>
      </c>
      <c r="AC102" s="261">
        <v>700000</v>
      </c>
      <c r="AD102" s="261">
        <v>0</v>
      </c>
      <c r="AE102" s="261">
        <v>300000</v>
      </c>
      <c r="AF102" s="261">
        <v>0</v>
      </c>
      <c r="AG102" s="261">
        <v>0</v>
      </c>
      <c r="AH102" s="261">
        <v>926000</v>
      </c>
      <c r="AI102" s="261">
        <v>626000</v>
      </c>
      <c r="AJ102" s="261">
        <v>74000</v>
      </c>
      <c r="AK102" s="261">
        <v>0</v>
      </c>
      <c r="AL102" s="261">
        <v>0</v>
      </c>
      <c r="AM102" s="261">
        <v>926000</v>
      </c>
      <c r="AN102" s="261">
        <v>926000</v>
      </c>
      <c r="AO102" s="261">
        <v>626000</v>
      </c>
      <c r="AP102" s="261">
        <v>74000</v>
      </c>
      <c r="AQ102" s="9"/>
      <c r="AS102" s="9"/>
    </row>
    <row r="103" spans="1:45" x14ac:dyDescent="0.25">
      <c r="A103" s="2" t="s">
        <v>165</v>
      </c>
      <c r="B103" s="259" t="s">
        <v>166</v>
      </c>
      <c r="C103" s="261">
        <v>1000000</v>
      </c>
      <c r="D103" s="261">
        <v>0</v>
      </c>
      <c r="E103" s="261">
        <v>0</v>
      </c>
      <c r="F103" s="261">
        <v>0</v>
      </c>
      <c r="G103" s="261">
        <f>+C103+D103-E103+F103</f>
        <v>1000000</v>
      </c>
      <c r="H103" s="261">
        <v>0</v>
      </c>
      <c r="I103" s="261">
        <v>300000</v>
      </c>
      <c r="J103" s="261">
        <f t="shared" si="47"/>
        <v>700000</v>
      </c>
      <c r="K103" s="261">
        <v>0</v>
      </c>
      <c r="L103" s="261">
        <v>300000</v>
      </c>
      <c r="M103" s="261">
        <f t="shared" si="57"/>
        <v>0</v>
      </c>
      <c r="N103" s="261">
        <v>0</v>
      </c>
      <c r="O103" s="261">
        <v>926000</v>
      </c>
      <c r="P103" s="261">
        <f t="shared" si="48"/>
        <v>626000</v>
      </c>
      <c r="Q103" s="177">
        <f t="shared" si="49"/>
        <v>74000</v>
      </c>
      <c r="R103" s="261">
        <f t="shared" si="50"/>
        <v>300000</v>
      </c>
      <c r="T103" s="183" t="s">
        <v>165</v>
      </c>
      <c r="U103" s="259" t="s">
        <v>166</v>
      </c>
      <c r="V103" s="261">
        <v>1000000</v>
      </c>
      <c r="W103" s="261">
        <v>0</v>
      </c>
      <c r="X103" s="261">
        <v>0</v>
      </c>
      <c r="Y103" s="261">
        <v>0</v>
      </c>
      <c r="Z103" s="261">
        <v>1000000</v>
      </c>
      <c r="AA103" s="261">
        <v>0</v>
      </c>
      <c r="AB103" s="261">
        <v>300000</v>
      </c>
      <c r="AC103" s="261">
        <v>700000</v>
      </c>
      <c r="AD103" s="261">
        <v>0</v>
      </c>
      <c r="AE103" s="261">
        <v>300000</v>
      </c>
      <c r="AF103" s="261">
        <v>0</v>
      </c>
      <c r="AG103" s="261">
        <v>0</v>
      </c>
      <c r="AH103" s="261">
        <v>926000</v>
      </c>
      <c r="AI103" s="261">
        <v>626000</v>
      </c>
      <c r="AJ103" s="261">
        <v>74000</v>
      </c>
      <c r="AK103" s="261">
        <v>0</v>
      </c>
      <c r="AL103" s="261">
        <v>0</v>
      </c>
      <c r="AM103" s="261">
        <v>926000</v>
      </c>
      <c r="AN103" s="261">
        <v>926000</v>
      </c>
      <c r="AO103" s="261">
        <v>626000</v>
      </c>
      <c r="AP103" s="261">
        <v>74000</v>
      </c>
      <c r="AQ103" s="261"/>
      <c r="AS103" s="261"/>
    </row>
    <row r="104" spans="1:45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 t="shared" ref="D104:R104" si="64">SUM(D105:D107)</f>
        <v>0</v>
      </c>
      <c r="E104" s="9">
        <f t="shared" si="64"/>
        <v>0</v>
      </c>
      <c r="F104" s="9">
        <f t="shared" si="64"/>
        <v>0</v>
      </c>
      <c r="G104" s="9">
        <f t="shared" si="64"/>
        <v>43000000</v>
      </c>
      <c r="H104" s="9">
        <f t="shared" si="64"/>
        <v>9596650</v>
      </c>
      <c r="I104" s="9">
        <f t="shared" si="64"/>
        <v>12007758</v>
      </c>
      <c r="J104" s="9">
        <f t="shared" si="47"/>
        <v>30992242</v>
      </c>
      <c r="K104" s="9">
        <f t="shared" si="64"/>
        <v>0</v>
      </c>
      <c r="L104" s="9">
        <f t="shared" si="64"/>
        <v>3996020</v>
      </c>
      <c r="M104" s="9">
        <f t="shared" si="64"/>
        <v>8011738</v>
      </c>
      <c r="N104" s="9">
        <f t="shared" si="64"/>
        <v>700000</v>
      </c>
      <c r="O104" s="9">
        <f t="shared" si="64"/>
        <v>12941108</v>
      </c>
      <c r="P104" s="9">
        <f t="shared" si="64"/>
        <v>933350</v>
      </c>
      <c r="Q104" s="9">
        <f t="shared" si="49"/>
        <v>30058892</v>
      </c>
      <c r="R104" s="9">
        <f t="shared" si="64"/>
        <v>3996020</v>
      </c>
      <c r="T104" s="183" t="s">
        <v>167</v>
      </c>
      <c r="U104" s="259" t="s">
        <v>168</v>
      </c>
      <c r="V104" s="261">
        <v>43000000</v>
      </c>
      <c r="W104" s="261">
        <v>0</v>
      </c>
      <c r="X104" s="261">
        <v>0</v>
      </c>
      <c r="Y104" s="261">
        <v>0</v>
      </c>
      <c r="Z104" s="261">
        <v>43000000</v>
      </c>
      <c r="AA104" s="261">
        <v>9596650</v>
      </c>
      <c r="AB104" s="261">
        <v>12007758</v>
      </c>
      <c r="AC104" s="261">
        <v>30992242</v>
      </c>
      <c r="AD104" s="261">
        <v>0</v>
      </c>
      <c r="AE104" s="261">
        <v>3996020</v>
      </c>
      <c r="AF104" s="261">
        <v>8011738</v>
      </c>
      <c r="AG104" s="261">
        <v>700000</v>
      </c>
      <c r="AH104" s="261">
        <v>12941108</v>
      </c>
      <c r="AI104" s="261">
        <v>933350</v>
      </c>
      <c r="AJ104" s="261">
        <v>30058892</v>
      </c>
      <c r="AK104" s="261">
        <v>0</v>
      </c>
      <c r="AL104" s="261">
        <v>700000</v>
      </c>
      <c r="AM104" s="261">
        <v>12941108</v>
      </c>
      <c r="AN104" s="261">
        <v>12941108</v>
      </c>
      <c r="AO104" s="261">
        <v>933350</v>
      </c>
      <c r="AP104" s="261">
        <v>30058892</v>
      </c>
      <c r="AQ104" s="9"/>
      <c r="AS104" s="9"/>
    </row>
    <row r="105" spans="1:45" x14ac:dyDescent="0.25">
      <c r="A105" s="2" t="s">
        <v>169</v>
      </c>
      <c r="B105" s="259" t="s">
        <v>170</v>
      </c>
      <c r="C105" s="261">
        <v>20000000</v>
      </c>
      <c r="D105" s="261">
        <v>0</v>
      </c>
      <c r="E105" s="261">
        <v>0</v>
      </c>
      <c r="F105" s="261">
        <v>0</v>
      </c>
      <c r="G105" s="261">
        <f>+C105+D105-E105+F105</f>
        <v>20000000</v>
      </c>
      <c r="H105" s="261">
        <v>9596650</v>
      </c>
      <c r="I105" s="261">
        <v>11307758</v>
      </c>
      <c r="J105" s="261">
        <f t="shared" si="47"/>
        <v>8692242</v>
      </c>
      <c r="K105" s="261">
        <v>0</v>
      </c>
      <c r="L105" s="261">
        <v>0</v>
      </c>
      <c r="M105" s="261">
        <f t="shared" si="57"/>
        <v>11307758</v>
      </c>
      <c r="N105" s="261">
        <v>0</v>
      </c>
      <c r="O105" s="261">
        <v>11541108</v>
      </c>
      <c r="P105" s="261">
        <f t="shared" si="48"/>
        <v>233350</v>
      </c>
      <c r="Q105" s="177">
        <f t="shared" si="49"/>
        <v>8458892</v>
      </c>
      <c r="R105" s="261">
        <f t="shared" si="50"/>
        <v>0</v>
      </c>
      <c r="T105" s="183" t="s">
        <v>169</v>
      </c>
      <c r="U105" s="259" t="s">
        <v>170</v>
      </c>
      <c r="V105" s="261">
        <v>20000000</v>
      </c>
      <c r="W105" s="261">
        <v>0</v>
      </c>
      <c r="X105" s="261">
        <v>0</v>
      </c>
      <c r="Y105" s="261">
        <v>0</v>
      </c>
      <c r="Z105" s="261">
        <v>20000000</v>
      </c>
      <c r="AA105" s="261">
        <v>9596650</v>
      </c>
      <c r="AB105" s="261">
        <v>11307758</v>
      </c>
      <c r="AC105" s="261">
        <v>8692242</v>
      </c>
      <c r="AD105" s="261">
        <v>0</v>
      </c>
      <c r="AE105" s="261">
        <v>0</v>
      </c>
      <c r="AF105" s="261">
        <v>11307758</v>
      </c>
      <c r="AG105" s="261">
        <v>0</v>
      </c>
      <c r="AH105" s="261">
        <v>11541108</v>
      </c>
      <c r="AI105" s="261">
        <v>233350</v>
      </c>
      <c r="AJ105" s="261">
        <v>8458892</v>
      </c>
      <c r="AK105" s="261">
        <v>0</v>
      </c>
      <c r="AL105" s="261">
        <v>0</v>
      </c>
      <c r="AM105" s="261">
        <v>11541108</v>
      </c>
      <c r="AN105" s="261">
        <v>11541108</v>
      </c>
      <c r="AO105" s="261">
        <v>233350</v>
      </c>
      <c r="AP105" s="261">
        <v>8458892</v>
      </c>
      <c r="AQ105" s="261"/>
      <c r="AS105" s="261"/>
    </row>
    <row r="106" spans="1:45" x14ac:dyDescent="0.25">
      <c r="A106" s="2" t="s">
        <v>171</v>
      </c>
      <c r="B106" s="259" t="s">
        <v>172</v>
      </c>
      <c r="C106" s="261">
        <v>8000000</v>
      </c>
      <c r="D106" s="261">
        <v>0</v>
      </c>
      <c r="E106" s="261">
        <v>0</v>
      </c>
      <c r="F106" s="261">
        <v>0</v>
      </c>
      <c r="G106" s="261">
        <f>+C106+D106-E106+F106</f>
        <v>8000000</v>
      </c>
      <c r="H106" s="261">
        <v>0</v>
      </c>
      <c r="I106" s="261">
        <v>700000</v>
      </c>
      <c r="J106" s="261">
        <f t="shared" si="47"/>
        <v>7300000</v>
      </c>
      <c r="K106" s="261">
        <v>0</v>
      </c>
      <c r="L106" s="261">
        <v>3996020</v>
      </c>
      <c r="M106" s="261">
        <f t="shared" si="57"/>
        <v>-3296020</v>
      </c>
      <c r="N106" s="261">
        <v>700000</v>
      </c>
      <c r="O106" s="261">
        <v>1400000</v>
      </c>
      <c r="P106" s="261">
        <f t="shared" si="48"/>
        <v>700000</v>
      </c>
      <c r="Q106" s="177">
        <f t="shared" si="49"/>
        <v>6600000</v>
      </c>
      <c r="R106" s="261">
        <f t="shared" si="50"/>
        <v>3996020</v>
      </c>
      <c r="T106" s="183" t="s">
        <v>171</v>
      </c>
      <c r="U106" s="259" t="s">
        <v>172</v>
      </c>
      <c r="V106" s="261">
        <v>8000000</v>
      </c>
      <c r="W106" s="261">
        <v>0</v>
      </c>
      <c r="X106" s="261">
        <v>0</v>
      </c>
      <c r="Y106" s="261">
        <v>0</v>
      </c>
      <c r="Z106" s="261">
        <v>8000000</v>
      </c>
      <c r="AA106" s="261">
        <v>0</v>
      </c>
      <c r="AB106" s="261">
        <v>700000</v>
      </c>
      <c r="AC106" s="261">
        <v>7300000</v>
      </c>
      <c r="AD106" s="261">
        <v>0</v>
      </c>
      <c r="AE106" s="261">
        <v>3996020</v>
      </c>
      <c r="AF106" s="261">
        <v>-3296020</v>
      </c>
      <c r="AG106" s="261">
        <v>700000</v>
      </c>
      <c r="AH106" s="261">
        <v>1400000</v>
      </c>
      <c r="AI106" s="261">
        <v>700000</v>
      </c>
      <c r="AJ106" s="261">
        <v>6600000</v>
      </c>
      <c r="AK106" s="261">
        <v>0</v>
      </c>
      <c r="AL106" s="261">
        <v>700000</v>
      </c>
      <c r="AM106" s="261">
        <v>1400000</v>
      </c>
      <c r="AN106" s="261">
        <v>1400000</v>
      </c>
      <c r="AO106" s="261">
        <v>700000</v>
      </c>
      <c r="AP106" s="261">
        <v>6600000</v>
      </c>
      <c r="AQ106" s="261"/>
      <c r="AS106" s="261"/>
    </row>
    <row r="107" spans="1:45" x14ac:dyDescent="0.25">
      <c r="A107" s="2" t="s">
        <v>173</v>
      </c>
      <c r="B107" s="259" t="s">
        <v>174</v>
      </c>
      <c r="C107" s="261">
        <v>15000000</v>
      </c>
      <c r="D107" s="261">
        <v>0</v>
      </c>
      <c r="E107" s="261">
        <v>0</v>
      </c>
      <c r="F107" s="261">
        <v>0</v>
      </c>
      <c r="G107" s="261">
        <f>+C107+D107-E107+F107</f>
        <v>15000000</v>
      </c>
      <c r="H107" s="261">
        <v>0</v>
      </c>
      <c r="I107" s="261">
        <v>0</v>
      </c>
      <c r="J107" s="261">
        <f t="shared" si="47"/>
        <v>15000000</v>
      </c>
      <c r="K107" s="261">
        <v>0</v>
      </c>
      <c r="L107" s="261">
        <v>0</v>
      </c>
      <c r="M107" s="261">
        <f t="shared" si="57"/>
        <v>0</v>
      </c>
      <c r="N107" s="261">
        <v>0</v>
      </c>
      <c r="O107" s="261">
        <v>0</v>
      </c>
      <c r="P107" s="261">
        <f t="shared" si="48"/>
        <v>0</v>
      </c>
      <c r="Q107" s="177">
        <f t="shared" si="49"/>
        <v>15000000</v>
      </c>
      <c r="R107" s="261">
        <f t="shared" si="50"/>
        <v>0</v>
      </c>
      <c r="T107" s="183" t="s">
        <v>173</v>
      </c>
      <c r="U107" s="259" t="s">
        <v>174</v>
      </c>
      <c r="V107" s="261">
        <v>15000000</v>
      </c>
      <c r="W107" s="261">
        <v>0</v>
      </c>
      <c r="X107" s="261">
        <v>0</v>
      </c>
      <c r="Y107" s="261">
        <v>0</v>
      </c>
      <c r="Z107" s="261">
        <v>15000000</v>
      </c>
      <c r="AA107" s="261">
        <v>0</v>
      </c>
      <c r="AB107" s="261">
        <v>0</v>
      </c>
      <c r="AC107" s="261">
        <v>15000000</v>
      </c>
      <c r="AD107" s="261">
        <v>0</v>
      </c>
      <c r="AE107" s="261">
        <v>0</v>
      </c>
      <c r="AF107" s="261">
        <v>0</v>
      </c>
      <c r="AG107" s="261">
        <v>0</v>
      </c>
      <c r="AH107" s="261">
        <v>0</v>
      </c>
      <c r="AI107" s="261">
        <v>0</v>
      </c>
      <c r="AJ107" s="261">
        <v>15000000</v>
      </c>
      <c r="AK107" s="261">
        <v>0</v>
      </c>
      <c r="AL107" s="261">
        <v>0</v>
      </c>
      <c r="AM107" s="261">
        <v>0</v>
      </c>
      <c r="AN107" s="261">
        <v>0</v>
      </c>
      <c r="AO107" s="261">
        <v>0</v>
      </c>
      <c r="AP107" s="261">
        <v>15000000</v>
      </c>
      <c r="AQ107" s="261"/>
      <c r="AS107" s="261"/>
    </row>
    <row r="108" spans="1:45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 t="shared" ref="D108:R108" si="65">+D109</f>
        <v>0</v>
      </c>
      <c r="E108" s="9">
        <f t="shared" si="65"/>
        <v>0</v>
      </c>
      <c r="F108" s="9">
        <f t="shared" si="65"/>
        <v>0</v>
      </c>
      <c r="G108" s="9">
        <f t="shared" si="65"/>
        <v>1000000</v>
      </c>
      <c r="H108" s="9">
        <f t="shared" si="65"/>
        <v>0</v>
      </c>
      <c r="I108" s="9">
        <f t="shared" si="65"/>
        <v>0</v>
      </c>
      <c r="J108" s="9">
        <f t="shared" si="47"/>
        <v>1000000</v>
      </c>
      <c r="K108" s="9">
        <f t="shared" si="65"/>
        <v>0</v>
      </c>
      <c r="L108" s="9">
        <f t="shared" si="65"/>
        <v>0</v>
      </c>
      <c r="M108" s="9">
        <f t="shared" si="65"/>
        <v>0</v>
      </c>
      <c r="N108" s="9">
        <f t="shared" si="65"/>
        <v>0</v>
      </c>
      <c r="O108" s="9">
        <f t="shared" si="65"/>
        <v>0</v>
      </c>
      <c r="P108" s="9">
        <f t="shared" si="65"/>
        <v>0</v>
      </c>
      <c r="Q108" s="9">
        <f t="shared" si="49"/>
        <v>1000000</v>
      </c>
      <c r="R108" s="9">
        <f t="shared" si="65"/>
        <v>0</v>
      </c>
      <c r="T108" s="183" t="s">
        <v>175</v>
      </c>
      <c r="U108" s="259" t="s">
        <v>176</v>
      </c>
      <c r="V108" s="261">
        <v>1000000</v>
      </c>
      <c r="W108" s="261">
        <v>0</v>
      </c>
      <c r="X108" s="261">
        <v>0</v>
      </c>
      <c r="Y108" s="261">
        <v>0</v>
      </c>
      <c r="Z108" s="261">
        <v>1000000</v>
      </c>
      <c r="AA108" s="261">
        <v>0</v>
      </c>
      <c r="AB108" s="261">
        <v>0</v>
      </c>
      <c r="AC108" s="261">
        <v>1000000</v>
      </c>
      <c r="AD108" s="261">
        <v>0</v>
      </c>
      <c r="AE108" s="261">
        <v>0</v>
      </c>
      <c r="AF108" s="261">
        <v>0</v>
      </c>
      <c r="AG108" s="261">
        <v>0</v>
      </c>
      <c r="AH108" s="261">
        <v>0</v>
      </c>
      <c r="AI108" s="261">
        <v>0</v>
      </c>
      <c r="AJ108" s="261">
        <v>1000000</v>
      </c>
      <c r="AK108" s="261">
        <v>0</v>
      </c>
      <c r="AL108" s="261">
        <v>0</v>
      </c>
      <c r="AM108" s="261">
        <v>0</v>
      </c>
      <c r="AN108" s="261">
        <v>0</v>
      </c>
      <c r="AO108" s="261">
        <v>0</v>
      </c>
      <c r="AP108" s="261">
        <v>1000000</v>
      </c>
      <c r="AQ108" s="9"/>
      <c r="AS108" s="9"/>
    </row>
    <row r="109" spans="1:45" x14ac:dyDescent="0.25">
      <c r="A109" s="2" t="s">
        <v>177</v>
      </c>
      <c r="B109" s="259" t="s">
        <v>178</v>
      </c>
      <c r="C109" s="261">
        <v>1000000</v>
      </c>
      <c r="D109" s="261">
        <v>0</v>
      </c>
      <c r="E109" s="261">
        <v>0</v>
      </c>
      <c r="F109" s="261">
        <v>0</v>
      </c>
      <c r="G109" s="261">
        <f>+C109+D109-E109+F109</f>
        <v>1000000</v>
      </c>
      <c r="H109" s="261">
        <v>0</v>
      </c>
      <c r="I109" s="261">
        <v>0</v>
      </c>
      <c r="J109" s="261">
        <f t="shared" si="47"/>
        <v>1000000</v>
      </c>
      <c r="K109" s="261">
        <v>0</v>
      </c>
      <c r="L109" s="261">
        <v>0</v>
      </c>
      <c r="M109" s="261">
        <f t="shared" si="57"/>
        <v>0</v>
      </c>
      <c r="N109" s="261">
        <v>0</v>
      </c>
      <c r="O109" s="261">
        <v>0</v>
      </c>
      <c r="P109" s="261">
        <f t="shared" si="48"/>
        <v>0</v>
      </c>
      <c r="Q109" s="177">
        <f t="shared" si="49"/>
        <v>1000000</v>
      </c>
      <c r="R109" s="261">
        <f t="shared" si="50"/>
        <v>0</v>
      </c>
      <c r="T109" s="183" t="s">
        <v>177</v>
      </c>
      <c r="U109" s="259" t="s">
        <v>178</v>
      </c>
      <c r="V109" s="261">
        <v>1000000</v>
      </c>
      <c r="W109" s="261">
        <v>0</v>
      </c>
      <c r="X109" s="261">
        <v>0</v>
      </c>
      <c r="Y109" s="261">
        <v>0</v>
      </c>
      <c r="Z109" s="261">
        <v>1000000</v>
      </c>
      <c r="AA109" s="261">
        <v>0</v>
      </c>
      <c r="AB109" s="261">
        <v>0</v>
      </c>
      <c r="AC109" s="261">
        <v>1000000</v>
      </c>
      <c r="AD109" s="261">
        <v>0</v>
      </c>
      <c r="AE109" s="261">
        <v>0</v>
      </c>
      <c r="AF109" s="261">
        <v>0</v>
      </c>
      <c r="AG109" s="261">
        <v>0</v>
      </c>
      <c r="AH109" s="261">
        <v>0</v>
      </c>
      <c r="AI109" s="261">
        <v>0</v>
      </c>
      <c r="AJ109" s="261">
        <v>1000000</v>
      </c>
      <c r="AK109" s="261">
        <v>0</v>
      </c>
      <c r="AL109" s="261">
        <v>0</v>
      </c>
      <c r="AM109" s="261">
        <v>0</v>
      </c>
      <c r="AN109" s="261">
        <v>0</v>
      </c>
      <c r="AO109" s="261">
        <v>0</v>
      </c>
      <c r="AP109" s="261">
        <v>1000000</v>
      </c>
      <c r="AQ109" s="261"/>
      <c r="AS109" s="261"/>
    </row>
    <row r="110" spans="1:45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 t="shared" ref="D110:R110" si="66">+D111</f>
        <v>0</v>
      </c>
      <c r="E110" s="9">
        <f t="shared" si="66"/>
        <v>1225725000</v>
      </c>
      <c r="F110" s="9">
        <f t="shared" si="66"/>
        <v>1800000000</v>
      </c>
      <c r="G110" s="9">
        <f t="shared" si="66"/>
        <v>664275000</v>
      </c>
      <c r="H110" s="9">
        <f t="shared" si="66"/>
        <v>0</v>
      </c>
      <c r="I110" s="9">
        <f t="shared" si="66"/>
        <v>19301324</v>
      </c>
      <c r="J110" s="9">
        <f t="shared" si="47"/>
        <v>644973676</v>
      </c>
      <c r="K110" s="9">
        <f t="shared" si="66"/>
        <v>4638947</v>
      </c>
      <c r="L110" s="9">
        <f t="shared" si="66"/>
        <v>19301323</v>
      </c>
      <c r="M110" s="9">
        <f t="shared" si="66"/>
        <v>1</v>
      </c>
      <c r="N110" s="9">
        <f t="shared" si="66"/>
        <v>0</v>
      </c>
      <c r="O110" s="9">
        <f t="shared" si="66"/>
        <v>593576324</v>
      </c>
      <c r="P110" s="9">
        <f t="shared" si="66"/>
        <v>574275000</v>
      </c>
      <c r="Q110" s="9">
        <f t="shared" si="49"/>
        <v>70698676</v>
      </c>
      <c r="R110" s="9">
        <f t="shared" si="66"/>
        <v>19301323</v>
      </c>
      <c r="T110" s="183" t="s">
        <v>179</v>
      </c>
      <c r="U110" s="259" t="s">
        <v>180</v>
      </c>
      <c r="V110" s="261">
        <v>90000000</v>
      </c>
      <c r="W110" s="261">
        <v>0</v>
      </c>
      <c r="X110" s="261">
        <v>1225725000</v>
      </c>
      <c r="Y110" s="261">
        <v>1800000000</v>
      </c>
      <c r="Z110" s="261">
        <v>664275000</v>
      </c>
      <c r="AA110" s="261">
        <v>0</v>
      </c>
      <c r="AB110" s="261">
        <v>19301324</v>
      </c>
      <c r="AC110" s="261">
        <v>644973676</v>
      </c>
      <c r="AD110" s="261">
        <v>4638947</v>
      </c>
      <c r="AE110" s="261">
        <v>19301323</v>
      </c>
      <c r="AF110" s="261">
        <v>1</v>
      </c>
      <c r="AG110" s="261">
        <v>0</v>
      </c>
      <c r="AH110" s="261">
        <v>593576324</v>
      </c>
      <c r="AI110" s="261">
        <v>574275000</v>
      </c>
      <c r="AJ110" s="261">
        <v>70698676</v>
      </c>
      <c r="AK110" s="261">
        <v>0</v>
      </c>
      <c r="AL110" s="261">
        <v>0</v>
      </c>
      <c r="AM110" s="261">
        <v>593576324</v>
      </c>
      <c r="AN110" s="261">
        <v>593576324</v>
      </c>
      <c r="AO110" s="261">
        <v>574275000</v>
      </c>
      <c r="AP110" s="261">
        <v>70698676</v>
      </c>
      <c r="AQ110" s="9"/>
      <c r="AS110" s="9"/>
    </row>
    <row r="111" spans="1:45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 t="shared" ref="D111:R111" si="67">+D112+D113</f>
        <v>0</v>
      </c>
      <c r="E111" s="9">
        <f t="shared" si="67"/>
        <v>1225725000</v>
      </c>
      <c r="F111" s="9">
        <f t="shared" si="67"/>
        <v>1800000000</v>
      </c>
      <c r="G111" s="9">
        <f t="shared" si="67"/>
        <v>664275000</v>
      </c>
      <c r="H111" s="9">
        <f t="shared" si="67"/>
        <v>0</v>
      </c>
      <c r="I111" s="9">
        <f t="shared" si="67"/>
        <v>19301324</v>
      </c>
      <c r="J111" s="9">
        <f t="shared" si="47"/>
        <v>644973676</v>
      </c>
      <c r="K111" s="9">
        <f t="shared" si="67"/>
        <v>4638947</v>
      </c>
      <c r="L111" s="9">
        <f t="shared" si="67"/>
        <v>19301323</v>
      </c>
      <c r="M111" s="9">
        <f t="shared" si="67"/>
        <v>1</v>
      </c>
      <c r="N111" s="9">
        <f t="shared" si="67"/>
        <v>0</v>
      </c>
      <c r="O111" s="9">
        <f t="shared" si="67"/>
        <v>593576324</v>
      </c>
      <c r="P111" s="9">
        <f t="shared" si="67"/>
        <v>574275000</v>
      </c>
      <c r="Q111" s="9">
        <f t="shared" si="49"/>
        <v>70698676</v>
      </c>
      <c r="R111" s="9">
        <f t="shared" si="67"/>
        <v>19301323</v>
      </c>
      <c r="T111" s="183" t="s">
        <v>181</v>
      </c>
      <c r="U111" s="259" t="s">
        <v>182</v>
      </c>
      <c r="V111" s="261">
        <v>90000000</v>
      </c>
      <c r="W111" s="261">
        <v>0</v>
      </c>
      <c r="X111" s="261">
        <v>1225725000</v>
      </c>
      <c r="Y111" s="261">
        <v>1800000000</v>
      </c>
      <c r="Z111" s="261">
        <v>664275000</v>
      </c>
      <c r="AA111" s="261">
        <v>0</v>
      </c>
      <c r="AB111" s="261">
        <v>19301324</v>
      </c>
      <c r="AC111" s="261">
        <v>644973676</v>
      </c>
      <c r="AD111" s="261">
        <v>4638947</v>
      </c>
      <c r="AE111" s="261">
        <v>19301323</v>
      </c>
      <c r="AF111" s="261">
        <v>1</v>
      </c>
      <c r="AG111" s="261">
        <v>0</v>
      </c>
      <c r="AH111" s="261">
        <v>593576324</v>
      </c>
      <c r="AI111" s="261">
        <v>574275000</v>
      </c>
      <c r="AJ111" s="261">
        <v>70698676</v>
      </c>
      <c r="AK111" s="261">
        <v>0</v>
      </c>
      <c r="AL111" s="261">
        <v>0</v>
      </c>
      <c r="AM111" s="261">
        <v>593576324</v>
      </c>
      <c r="AN111" s="261">
        <v>593576324</v>
      </c>
      <c r="AO111" s="261">
        <v>574275000</v>
      </c>
      <c r="AP111" s="261">
        <v>70698676</v>
      </c>
      <c r="AQ111" s="9"/>
      <c r="AS111" s="9"/>
    </row>
    <row r="112" spans="1:45" x14ac:dyDescent="0.25">
      <c r="A112" s="2" t="s">
        <v>183</v>
      </c>
      <c r="B112" s="259" t="s">
        <v>184</v>
      </c>
      <c r="C112" s="261">
        <v>50000000</v>
      </c>
      <c r="D112" s="261">
        <v>0</v>
      </c>
      <c r="E112" s="261">
        <v>0</v>
      </c>
      <c r="F112" s="261">
        <v>0</v>
      </c>
      <c r="G112" s="261">
        <f>+C112+D112-E112+F112</f>
        <v>50000000</v>
      </c>
      <c r="H112" s="261">
        <v>0</v>
      </c>
      <c r="I112" s="261">
        <v>19301324</v>
      </c>
      <c r="J112" s="261">
        <f t="shared" si="47"/>
        <v>30698676</v>
      </c>
      <c r="K112" s="261">
        <v>4638947</v>
      </c>
      <c r="L112" s="261">
        <v>19301323</v>
      </c>
      <c r="M112" s="261">
        <f t="shared" si="57"/>
        <v>1</v>
      </c>
      <c r="N112" s="261">
        <v>0</v>
      </c>
      <c r="O112" s="261">
        <v>19301324</v>
      </c>
      <c r="P112" s="261">
        <f t="shared" si="48"/>
        <v>0</v>
      </c>
      <c r="Q112" s="177">
        <f t="shared" si="49"/>
        <v>30698676</v>
      </c>
      <c r="R112" s="261">
        <f t="shared" si="50"/>
        <v>19301323</v>
      </c>
      <c r="T112" s="183" t="s">
        <v>183</v>
      </c>
      <c r="U112" s="259" t="s">
        <v>184</v>
      </c>
      <c r="V112" s="261">
        <v>50000000</v>
      </c>
      <c r="W112" s="261">
        <v>0</v>
      </c>
      <c r="X112" s="261">
        <v>0</v>
      </c>
      <c r="Y112" s="261">
        <v>0</v>
      </c>
      <c r="Z112" s="261">
        <v>50000000</v>
      </c>
      <c r="AA112" s="261">
        <v>0</v>
      </c>
      <c r="AB112" s="261">
        <v>19301324</v>
      </c>
      <c r="AC112" s="261">
        <v>30698676</v>
      </c>
      <c r="AD112" s="261">
        <v>4638947</v>
      </c>
      <c r="AE112" s="261">
        <v>19301323</v>
      </c>
      <c r="AF112" s="261">
        <v>1</v>
      </c>
      <c r="AG112" s="261">
        <v>0</v>
      </c>
      <c r="AH112" s="261">
        <v>19301324</v>
      </c>
      <c r="AI112" s="261">
        <v>0</v>
      </c>
      <c r="AJ112" s="261">
        <v>30698676</v>
      </c>
      <c r="AK112" s="261">
        <v>0</v>
      </c>
      <c r="AL112" s="261">
        <v>0</v>
      </c>
      <c r="AM112" s="261">
        <v>19301324</v>
      </c>
      <c r="AN112" s="261">
        <v>19301324</v>
      </c>
      <c r="AO112" s="261">
        <v>0</v>
      </c>
      <c r="AP112" s="261">
        <v>30698676</v>
      </c>
      <c r="AQ112" s="261"/>
      <c r="AS112" s="261"/>
    </row>
    <row r="113" spans="1:45" s="1" customFormat="1" x14ac:dyDescent="0.25">
      <c r="A113" s="7" t="s">
        <v>185</v>
      </c>
      <c r="B113" s="8" t="s">
        <v>186</v>
      </c>
      <c r="C113" s="9">
        <f>+C114</f>
        <v>40000000</v>
      </c>
      <c r="D113" s="9">
        <f t="shared" ref="D113:R114" si="68">+D114</f>
        <v>0</v>
      </c>
      <c r="E113" s="9">
        <f t="shared" si="68"/>
        <v>1225725000</v>
      </c>
      <c r="F113" s="9">
        <f t="shared" si="68"/>
        <v>1800000000</v>
      </c>
      <c r="G113" s="9">
        <f t="shared" si="68"/>
        <v>614275000</v>
      </c>
      <c r="H113" s="9">
        <f t="shared" si="68"/>
        <v>0</v>
      </c>
      <c r="I113" s="9">
        <f t="shared" si="68"/>
        <v>0</v>
      </c>
      <c r="J113" s="9">
        <f t="shared" si="47"/>
        <v>614275000</v>
      </c>
      <c r="K113" s="9">
        <f t="shared" si="68"/>
        <v>0</v>
      </c>
      <c r="L113" s="9">
        <f t="shared" si="68"/>
        <v>0</v>
      </c>
      <c r="M113" s="9">
        <f t="shared" si="68"/>
        <v>0</v>
      </c>
      <c r="N113" s="9">
        <f t="shared" si="68"/>
        <v>0</v>
      </c>
      <c r="O113" s="9">
        <f t="shared" si="68"/>
        <v>574275000</v>
      </c>
      <c r="P113" s="9">
        <f t="shared" si="68"/>
        <v>574275000</v>
      </c>
      <c r="Q113" s="9">
        <f t="shared" si="49"/>
        <v>40000000</v>
      </c>
      <c r="R113" s="9">
        <f t="shared" si="68"/>
        <v>0</v>
      </c>
      <c r="T113" s="183" t="s">
        <v>185</v>
      </c>
      <c r="U113" s="259" t="s">
        <v>186</v>
      </c>
      <c r="V113" s="261">
        <v>40000000</v>
      </c>
      <c r="W113" s="261">
        <v>0</v>
      </c>
      <c r="X113" s="261">
        <v>1225725000</v>
      </c>
      <c r="Y113" s="261">
        <v>1800000000</v>
      </c>
      <c r="Z113" s="261">
        <v>614275000</v>
      </c>
      <c r="AA113" s="261">
        <v>0</v>
      </c>
      <c r="AB113" s="261">
        <v>0</v>
      </c>
      <c r="AC113" s="261">
        <v>614275000</v>
      </c>
      <c r="AD113" s="261">
        <v>0</v>
      </c>
      <c r="AE113" s="261">
        <v>0</v>
      </c>
      <c r="AF113" s="261">
        <v>0</v>
      </c>
      <c r="AG113" s="261">
        <v>0</v>
      </c>
      <c r="AH113" s="261">
        <v>574275000</v>
      </c>
      <c r="AI113" s="261">
        <v>574275000</v>
      </c>
      <c r="AJ113" s="261">
        <v>40000000</v>
      </c>
      <c r="AK113" s="261">
        <v>0</v>
      </c>
      <c r="AL113" s="261">
        <v>0</v>
      </c>
      <c r="AM113" s="261">
        <v>574275000</v>
      </c>
      <c r="AN113" s="261">
        <v>574275000</v>
      </c>
      <c r="AO113" s="261">
        <v>574275000</v>
      </c>
      <c r="AP113" s="261">
        <v>40000000</v>
      </c>
      <c r="AQ113" s="9"/>
      <c r="AS113" s="9"/>
    </row>
    <row r="114" spans="1:45" s="1" customFormat="1" x14ac:dyDescent="0.25">
      <c r="A114" s="7" t="s">
        <v>187</v>
      </c>
      <c r="B114" s="8" t="s">
        <v>188</v>
      </c>
      <c r="C114" s="9">
        <f>+C115</f>
        <v>40000000</v>
      </c>
      <c r="D114" s="9">
        <f t="shared" si="68"/>
        <v>0</v>
      </c>
      <c r="E114" s="9">
        <f t="shared" si="68"/>
        <v>1225725000</v>
      </c>
      <c r="F114" s="9">
        <f t="shared" si="68"/>
        <v>1800000000</v>
      </c>
      <c r="G114" s="9">
        <f t="shared" si="68"/>
        <v>614275000</v>
      </c>
      <c r="H114" s="9">
        <f t="shared" si="68"/>
        <v>0</v>
      </c>
      <c r="I114" s="9">
        <f t="shared" si="68"/>
        <v>0</v>
      </c>
      <c r="J114" s="9">
        <f t="shared" si="47"/>
        <v>614275000</v>
      </c>
      <c r="K114" s="9">
        <f t="shared" si="68"/>
        <v>0</v>
      </c>
      <c r="L114" s="9">
        <f t="shared" si="68"/>
        <v>0</v>
      </c>
      <c r="M114" s="9">
        <f t="shared" si="68"/>
        <v>0</v>
      </c>
      <c r="N114" s="9">
        <f t="shared" si="68"/>
        <v>0</v>
      </c>
      <c r="O114" s="9">
        <f t="shared" si="68"/>
        <v>574275000</v>
      </c>
      <c r="P114" s="9">
        <f t="shared" si="68"/>
        <v>574275000</v>
      </c>
      <c r="Q114" s="9">
        <f t="shared" si="49"/>
        <v>40000000</v>
      </c>
      <c r="R114" s="9">
        <f t="shared" si="68"/>
        <v>0</v>
      </c>
      <c r="T114" s="183" t="s">
        <v>187</v>
      </c>
      <c r="U114" s="259" t="s">
        <v>188</v>
      </c>
      <c r="V114" s="261">
        <v>40000000</v>
      </c>
      <c r="W114" s="261">
        <v>0</v>
      </c>
      <c r="X114" s="261">
        <v>1225725000</v>
      </c>
      <c r="Y114" s="261">
        <v>1800000000</v>
      </c>
      <c r="Z114" s="261">
        <v>614275000</v>
      </c>
      <c r="AA114" s="261">
        <v>0</v>
      </c>
      <c r="AB114" s="261">
        <v>0</v>
      </c>
      <c r="AC114" s="261">
        <v>614275000</v>
      </c>
      <c r="AD114" s="261">
        <v>0</v>
      </c>
      <c r="AE114" s="261">
        <v>0</v>
      </c>
      <c r="AF114" s="261">
        <v>0</v>
      </c>
      <c r="AG114" s="261">
        <v>0</v>
      </c>
      <c r="AH114" s="261">
        <v>574275000</v>
      </c>
      <c r="AI114" s="261">
        <v>574275000</v>
      </c>
      <c r="AJ114" s="261">
        <v>40000000</v>
      </c>
      <c r="AK114" s="261">
        <v>0</v>
      </c>
      <c r="AL114" s="261">
        <v>0</v>
      </c>
      <c r="AM114" s="261">
        <v>574275000</v>
      </c>
      <c r="AN114" s="261">
        <v>574275000</v>
      </c>
      <c r="AO114" s="261">
        <v>574275000</v>
      </c>
      <c r="AP114" s="261">
        <v>40000000</v>
      </c>
      <c r="AQ114" s="9"/>
      <c r="AS114" s="9"/>
    </row>
    <row r="115" spans="1:45" x14ac:dyDescent="0.25">
      <c r="A115" s="2" t="s">
        <v>189</v>
      </c>
      <c r="B115" s="259" t="s">
        <v>190</v>
      </c>
      <c r="C115" s="261">
        <v>40000000</v>
      </c>
      <c r="D115" s="261">
        <v>0</v>
      </c>
      <c r="E115" s="261">
        <f>763000000+462725000</f>
        <v>1225725000</v>
      </c>
      <c r="F115" s="261">
        <v>1800000000</v>
      </c>
      <c r="G115" s="261">
        <f>+C115+D115-E115+F115</f>
        <v>614275000</v>
      </c>
      <c r="H115" s="261">
        <v>0</v>
      </c>
      <c r="I115" s="261">
        <v>0</v>
      </c>
      <c r="J115" s="261">
        <f t="shared" si="47"/>
        <v>614275000</v>
      </c>
      <c r="K115" s="261">
        <v>0</v>
      </c>
      <c r="L115" s="261">
        <v>0</v>
      </c>
      <c r="M115" s="261">
        <f t="shared" si="57"/>
        <v>0</v>
      </c>
      <c r="N115" s="261">
        <v>0</v>
      </c>
      <c r="O115" s="261">
        <v>574275000</v>
      </c>
      <c r="P115" s="261">
        <f t="shared" si="48"/>
        <v>574275000</v>
      </c>
      <c r="Q115" s="177">
        <f t="shared" si="49"/>
        <v>40000000</v>
      </c>
      <c r="R115" s="261">
        <f t="shared" si="50"/>
        <v>0</v>
      </c>
      <c r="T115" s="183" t="s">
        <v>189</v>
      </c>
      <c r="U115" s="259" t="s">
        <v>190</v>
      </c>
      <c r="V115" s="261">
        <v>40000000</v>
      </c>
      <c r="W115" s="261">
        <v>0</v>
      </c>
      <c r="X115" s="261">
        <v>1225725000</v>
      </c>
      <c r="Y115" s="261">
        <v>1800000000</v>
      </c>
      <c r="Z115" s="261">
        <v>614275000</v>
      </c>
      <c r="AA115" s="261">
        <v>0</v>
      </c>
      <c r="AB115" s="261">
        <v>0</v>
      </c>
      <c r="AC115" s="261">
        <v>614275000</v>
      </c>
      <c r="AD115" s="261">
        <v>0</v>
      </c>
      <c r="AE115" s="261">
        <v>0</v>
      </c>
      <c r="AF115" s="261">
        <v>0</v>
      </c>
      <c r="AG115" s="261">
        <v>0</v>
      </c>
      <c r="AH115" s="261">
        <v>574275000</v>
      </c>
      <c r="AI115" s="261">
        <v>574275000</v>
      </c>
      <c r="AJ115" s="261">
        <v>40000000</v>
      </c>
      <c r="AK115" s="261">
        <v>0</v>
      </c>
      <c r="AL115" s="261">
        <v>0</v>
      </c>
      <c r="AM115" s="261">
        <v>574275000</v>
      </c>
      <c r="AN115" s="261">
        <v>574275000</v>
      </c>
      <c r="AO115" s="261">
        <v>574275000</v>
      </c>
      <c r="AP115" s="261">
        <v>40000000</v>
      </c>
      <c r="AQ115" s="261"/>
      <c r="AS115" s="261"/>
    </row>
    <row r="116" spans="1:45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 t="shared" ref="D116:R116" si="69">+D117+D207</f>
        <v>1894032905</v>
      </c>
      <c r="E116" s="6">
        <f t="shared" si="69"/>
        <v>85000000</v>
      </c>
      <c r="F116" s="6">
        <f t="shared" si="69"/>
        <v>0</v>
      </c>
      <c r="G116" s="6">
        <f t="shared" si="69"/>
        <v>12257266581</v>
      </c>
      <c r="H116" s="6">
        <f t="shared" si="69"/>
        <v>1235382478.3299999</v>
      </c>
      <c r="I116" s="6">
        <f t="shared" si="69"/>
        <v>6772812741.2400007</v>
      </c>
      <c r="J116" s="6">
        <f t="shared" si="47"/>
        <v>5484453839.7599993</v>
      </c>
      <c r="K116" s="6">
        <f t="shared" si="69"/>
        <v>740468289.6500001</v>
      </c>
      <c r="L116" s="6">
        <f t="shared" si="69"/>
        <v>2822988164.5100002</v>
      </c>
      <c r="M116" s="6">
        <f t="shared" si="69"/>
        <v>3949824576.7300005</v>
      </c>
      <c r="N116" s="6">
        <f t="shared" si="69"/>
        <v>1393348061.5999999</v>
      </c>
      <c r="O116" s="6">
        <f t="shared" si="69"/>
        <v>9973344113.8600006</v>
      </c>
      <c r="P116" s="6">
        <f t="shared" si="69"/>
        <v>3200531372.6199999</v>
      </c>
      <c r="Q116" s="6">
        <f t="shared" si="49"/>
        <v>2283922467.1399994</v>
      </c>
      <c r="R116" s="6">
        <f t="shared" si="69"/>
        <v>2822988164.5100002</v>
      </c>
      <c r="T116" s="183" t="s">
        <v>191</v>
      </c>
      <c r="U116" s="259" t="s">
        <v>192</v>
      </c>
      <c r="V116" s="261">
        <v>10254915024</v>
      </c>
      <c r="W116" s="261">
        <v>1794032905</v>
      </c>
      <c r="X116" s="261">
        <v>85000000</v>
      </c>
      <c r="Y116" s="261">
        <v>0</v>
      </c>
      <c r="Z116" s="261">
        <v>11963947929</v>
      </c>
      <c r="AA116" s="261">
        <v>1173883913.3299999</v>
      </c>
      <c r="AB116" s="261">
        <v>6572523767.2399998</v>
      </c>
      <c r="AC116" s="261">
        <v>5391424161.7600002</v>
      </c>
      <c r="AD116" s="261">
        <v>686097387.64999998</v>
      </c>
      <c r="AE116" s="261">
        <v>2635858133.5100002</v>
      </c>
      <c r="AF116" s="261">
        <v>3995590579.7299995</v>
      </c>
      <c r="AG116" s="261">
        <v>1332606764.5999999</v>
      </c>
      <c r="AH116" s="261">
        <v>9763053488.8600006</v>
      </c>
      <c r="AI116" s="261">
        <v>3190529721.6200008</v>
      </c>
      <c r="AJ116" s="261">
        <v>2200894440.1399994</v>
      </c>
      <c r="AK116" s="261">
        <v>280423074</v>
      </c>
      <c r="AL116" s="261">
        <v>1216923691.5999999</v>
      </c>
      <c r="AM116" s="261">
        <v>10022012684.860001</v>
      </c>
      <c r="AN116" s="261">
        <v>9741589610.8600006</v>
      </c>
      <c r="AO116" s="261">
        <v>3840841191.3500004</v>
      </c>
      <c r="AP116" s="261">
        <v>2222358318.1399994</v>
      </c>
      <c r="AQ116" s="6"/>
      <c r="AS116" s="6"/>
    </row>
    <row r="117" spans="1:45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 t="shared" ref="D117:R117" si="70">+D118+D133+D139+D153+D193</f>
        <v>11000000</v>
      </c>
      <c r="E117" s="6">
        <f t="shared" si="70"/>
        <v>0</v>
      </c>
      <c r="F117" s="6">
        <f t="shared" si="70"/>
        <v>0</v>
      </c>
      <c r="G117" s="6">
        <f t="shared" si="70"/>
        <v>1997531850</v>
      </c>
      <c r="H117" s="6">
        <f t="shared" si="70"/>
        <v>381895988</v>
      </c>
      <c r="I117" s="6">
        <f t="shared" si="70"/>
        <v>911289766.09000003</v>
      </c>
      <c r="J117" s="6">
        <f t="shared" si="47"/>
        <v>1086242083.9099998</v>
      </c>
      <c r="K117" s="6">
        <f t="shared" si="70"/>
        <v>77774117.700000003</v>
      </c>
      <c r="L117" s="6">
        <f t="shared" si="70"/>
        <v>347885728.78999996</v>
      </c>
      <c r="M117" s="6">
        <f t="shared" si="70"/>
        <v>563404037.29999995</v>
      </c>
      <c r="N117" s="6">
        <f t="shared" si="70"/>
        <v>74220615</v>
      </c>
      <c r="O117" s="6">
        <f t="shared" si="70"/>
        <v>1184586742.0900002</v>
      </c>
      <c r="P117" s="6">
        <f t="shared" si="70"/>
        <v>273296976</v>
      </c>
      <c r="Q117" s="6">
        <f t="shared" si="49"/>
        <v>812945107.90999985</v>
      </c>
      <c r="R117" s="6">
        <f t="shared" si="70"/>
        <v>347885728.78999996</v>
      </c>
      <c r="T117" s="183" t="s">
        <v>193</v>
      </c>
      <c r="U117" s="259" t="s">
        <v>194</v>
      </c>
      <c r="V117" s="261">
        <v>1986531850</v>
      </c>
      <c r="W117" s="261">
        <v>11000000</v>
      </c>
      <c r="X117" s="261">
        <v>0</v>
      </c>
      <c r="Y117" s="261">
        <v>0</v>
      </c>
      <c r="Z117" s="261">
        <v>1997531850</v>
      </c>
      <c r="AA117" s="261">
        <v>381895988</v>
      </c>
      <c r="AB117" s="261">
        <v>911289766.08999991</v>
      </c>
      <c r="AC117" s="261">
        <v>1086242083.9100001</v>
      </c>
      <c r="AD117" s="261">
        <v>77774117.700000003</v>
      </c>
      <c r="AE117" s="261">
        <v>347885728.78999996</v>
      </c>
      <c r="AF117" s="261">
        <v>573404037.29999995</v>
      </c>
      <c r="AG117" s="261">
        <v>74220615</v>
      </c>
      <c r="AH117" s="261">
        <v>1184586742.0900002</v>
      </c>
      <c r="AI117" s="261">
        <v>273296976.00000024</v>
      </c>
      <c r="AJ117" s="261">
        <v>812945107.90999985</v>
      </c>
      <c r="AK117" s="261">
        <v>12949000</v>
      </c>
      <c r="AL117" s="261">
        <v>70184965</v>
      </c>
      <c r="AM117" s="261">
        <v>1204797287.0900002</v>
      </c>
      <c r="AN117" s="261">
        <v>1191848287.0900002</v>
      </c>
      <c r="AO117" s="261">
        <v>628036786.00000012</v>
      </c>
      <c r="AP117" s="261">
        <v>805683562.90999985</v>
      </c>
      <c r="AQ117" s="6"/>
      <c r="AS117" s="6"/>
    </row>
    <row r="118" spans="1:45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 t="shared" ref="D118:R118" si="71">+D119+D123+D131</f>
        <v>0</v>
      </c>
      <c r="E118" s="9">
        <f t="shared" si="71"/>
        <v>0</v>
      </c>
      <c r="F118" s="9">
        <f t="shared" si="71"/>
        <v>0</v>
      </c>
      <c r="G118" s="9">
        <f t="shared" si="71"/>
        <v>73100000</v>
      </c>
      <c r="H118" s="9">
        <f t="shared" si="71"/>
        <v>1248112</v>
      </c>
      <c r="I118" s="9">
        <f t="shared" si="71"/>
        <v>3495112</v>
      </c>
      <c r="J118" s="9">
        <f t="shared" si="47"/>
        <v>69604888</v>
      </c>
      <c r="K118" s="9">
        <f t="shared" si="71"/>
        <v>1248112</v>
      </c>
      <c r="L118" s="9">
        <f t="shared" si="71"/>
        <v>3495112</v>
      </c>
      <c r="M118" s="9">
        <f t="shared" si="71"/>
        <v>0</v>
      </c>
      <c r="N118" s="9">
        <f t="shared" si="71"/>
        <v>0</v>
      </c>
      <c r="O118" s="9">
        <f t="shared" si="71"/>
        <v>67000000</v>
      </c>
      <c r="P118" s="9">
        <f t="shared" si="71"/>
        <v>63504888</v>
      </c>
      <c r="Q118" s="9">
        <f t="shared" si="49"/>
        <v>6100000</v>
      </c>
      <c r="R118" s="9">
        <f t="shared" si="71"/>
        <v>3495112</v>
      </c>
      <c r="T118" s="183" t="s">
        <v>195</v>
      </c>
      <c r="U118" s="259" t="s">
        <v>196</v>
      </c>
      <c r="V118" s="261">
        <v>73100000</v>
      </c>
      <c r="W118" s="261">
        <v>0</v>
      </c>
      <c r="X118" s="261">
        <v>0</v>
      </c>
      <c r="Y118" s="261">
        <v>0</v>
      </c>
      <c r="Z118" s="261">
        <v>73100000</v>
      </c>
      <c r="AA118" s="261">
        <v>1248112</v>
      </c>
      <c r="AB118" s="261">
        <v>3495112</v>
      </c>
      <c r="AC118" s="261">
        <v>69604888</v>
      </c>
      <c r="AD118" s="261">
        <v>1248112</v>
      </c>
      <c r="AE118" s="261">
        <v>3495112</v>
      </c>
      <c r="AF118" s="261">
        <v>0</v>
      </c>
      <c r="AG118" s="261">
        <v>0</v>
      </c>
      <c r="AH118" s="261">
        <v>67000000</v>
      </c>
      <c r="AI118" s="261">
        <v>63504888</v>
      </c>
      <c r="AJ118" s="261">
        <v>6100000</v>
      </c>
      <c r="AK118" s="261">
        <v>0</v>
      </c>
      <c r="AL118" s="261">
        <v>0</v>
      </c>
      <c r="AM118" s="261">
        <v>67000000</v>
      </c>
      <c r="AN118" s="261">
        <v>67000000</v>
      </c>
      <c r="AO118" s="261">
        <v>64753000</v>
      </c>
      <c r="AP118" s="261">
        <v>6100000</v>
      </c>
      <c r="AQ118" s="9"/>
      <c r="AS118" s="9"/>
    </row>
    <row r="119" spans="1:45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 t="shared" ref="D119:R119" si="72">+D120+D121+D122</f>
        <v>0</v>
      </c>
      <c r="E119" s="9">
        <f t="shared" si="72"/>
        <v>0</v>
      </c>
      <c r="F119" s="9">
        <f t="shared" si="72"/>
        <v>0</v>
      </c>
      <c r="G119" s="9">
        <f t="shared" si="72"/>
        <v>35800000</v>
      </c>
      <c r="H119" s="9">
        <f t="shared" si="72"/>
        <v>0</v>
      </c>
      <c r="I119" s="9">
        <f t="shared" si="72"/>
        <v>0</v>
      </c>
      <c r="J119" s="9">
        <f t="shared" si="47"/>
        <v>35800000</v>
      </c>
      <c r="K119" s="9">
        <f t="shared" si="72"/>
        <v>0</v>
      </c>
      <c r="L119" s="9">
        <f t="shared" si="72"/>
        <v>0</v>
      </c>
      <c r="M119" s="9">
        <f t="shared" si="72"/>
        <v>0</v>
      </c>
      <c r="N119" s="9">
        <f t="shared" si="72"/>
        <v>0</v>
      </c>
      <c r="O119" s="9">
        <f t="shared" si="72"/>
        <v>35000000</v>
      </c>
      <c r="P119" s="9">
        <f t="shared" si="72"/>
        <v>35000000</v>
      </c>
      <c r="Q119" s="9">
        <f t="shared" si="49"/>
        <v>800000</v>
      </c>
      <c r="R119" s="9">
        <f t="shared" si="72"/>
        <v>0</v>
      </c>
      <c r="T119" s="183" t="s">
        <v>197</v>
      </c>
      <c r="U119" s="259" t="s">
        <v>198</v>
      </c>
      <c r="V119" s="261">
        <v>35800000</v>
      </c>
      <c r="W119" s="261">
        <v>0</v>
      </c>
      <c r="X119" s="261">
        <v>0</v>
      </c>
      <c r="Y119" s="261">
        <v>0</v>
      </c>
      <c r="Z119" s="261">
        <v>35800000</v>
      </c>
      <c r="AA119" s="261">
        <v>0</v>
      </c>
      <c r="AB119" s="261">
        <v>0</v>
      </c>
      <c r="AC119" s="261">
        <v>35800000</v>
      </c>
      <c r="AD119" s="261">
        <v>0</v>
      </c>
      <c r="AE119" s="261">
        <v>0</v>
      </c>
      <c r="AF119" s="261">
        <v>0</v>
      </c>
      <c r="AG119" s="261">
        <v>0</v>
      </c>
      <c r="AH119" s="261">
        <v>35000000</v>
      </c>
      <c r="AI119" s="261">
        <v>35000000</v>
      </c>
      <c r="AJ119" s="261">
        <v>800000</v>
      </c>
      <c r="AK119" s="261">
        <v>0</v>
      </c>
      <c r="AL119" s="261">
        <v>0</v>
      </c>
      <c r="AM119" s="261">
        <v>35000000</v>
      </c>
      <c r="AN119" s="261">
        <v>35000000</v>
      </c>
      <c r="AO119" s="261">
        <v>35000000</v>
      </c>
      <c r="AP119" s="261">
        <v>800000</v>
      </c>
      <c r="AQ119" s="9"/>
      <c r="AS119" s="9"/>
    </row>
    <row r="120" spans="1:45" x14ac:dyDescent="0.25">
      <c r="A120" s="2" t="s">
        <v>199</v>
      </c>
      <c r="B120" s="259" t="s">
        <v>200</v>
      </c>
      <c r="C120" s="261">
        <v>400000</v>
      </c>
      <c r="D120" s="261">
        <v>0</v>
      </c>
      <c r="E120" s="261">
        <v>0</v>
      </c>
      <c r="F120" s="261">
        <v>0</v>
      </c>
      <c r="G120" s="261">
        <f>+C120+D120-E120+F120</f>
        <v>400000</v>
      </c>
      <c r="H120" s="261">
        <v>0</v>
      </c>
      <c r="I120" s="261">
        <v>0</v>
      </c>
      <c r="J120" s="261">
        <f t="shared" si="47"/>
        <v>400000</v>
      </c>
      <c r="K120" s="261">
        <v>0</v>
      </c>
      <c r="L120" s="261">
        <v>0</v>
      </c>
      <c r="M120" s="261">
        <f t="shared" si="57"/>
        <v>0</v>
      </c>
      <c r="N120" s="261">
        <v>0</v>
      </c>
      <c r="O120" s="261">
        <v>0</v>
      </c>
      <c r="P120" s="261">
        <f t="shared" si="48"/>
        <v>0</v>
      </c>
      <c r="Q120" s="177">
        <f t="shared" si="49"/>
        <v>400000</v>
      </c>
      <c r="R120" s="261">
        <f t="shared" si="50"/>
        <v>0</v>
      </c>
      <c r="T120" s="183" t="s">
        <v>199</v>
      </c>
      <c r="U120" s="259" t="s">
        <v>200</v>
      </c>
      <c r="V120" s="261">
        <v>400000</v>
      </c>
      <c r="W120" s="261">
        <v>0</v>
      </c>
      <c r="X120" s="261">
        <v>0</v>
      </c>
      <c r="Y120" s="261">
        <v>0</v>
      </c>
      <c r="Z120" s="261">
        <v>400000</v>
      </c>
      <c r="AA120" s="261">
        <v>0</v>
      </c>
      <c r="AB120" s="261">
        <v>0</v>
      </c>
      <c r="AC120" s="261">
        <v>400000</v>
      </c>
      <c r="AD120" s="261">
        <v>0</v>
      </c>
      <c r="AE120" s="261">
        <v>0</v>
      </c>
      <c r="AF120" s="261">
        <v>0</v>
      </c>
      <c r="AG120" s="261">
        <v>0</v>
      </c>
      <c r="AH120" s="261">
        <v>0</v>
      </c>
      <c r="AI120" s="261">
        <v>0</v>
      </c>
      <c r="AJ120" s="261">
        <v>400000</v>
      </c>
      <c r="AK120" s="261">
        <v>0</v>
      </c>
      <c r="AL120" s="261">
        <v>0</v>
      </c>
      <c r="AM120" s="261">
        <v>0</v>
      </c>
      <c r="AN120" s="261">
        <v>0</v>
      </c>
      <c r="AO120" s="261">
        <v>0</v>
      </c>
      <c r="AP120" s="261">
        <v>400000</v>
      </c>
      <c r="AQ120" s="261"/>
      <c r="AS120" s="261"/>
    </row>
    <row r="121" spans="1:45" x14ac:dyDescent="0.25">
      <c r="A121" s="2" t="s">
        <v>201</v>
      </c>
      <c r="B121" s="259" t="s">
        <v>202</v>
      </c>
      <c r="C121" s="261">
        <v>35000000</v>
      </c>
      <c r="D121" s="261">
        <v>0</v>
      </c>
      <c r="E121" s="261">
        <v>0</v>
      </c>
      <c r="F121" s="261">
        <v>0</v>
      </c>
      <c r="G121" s="261">
        <f>+C121+D121-E121+F121</f>
        <v>35000000</v>
      </c>
      <c r="H121" s="261">
        <v>0</v>
      </c>
      <c r="I121" s="261">
        <v>0</v>
      </c>
      <c r="J121" s="261">
        <f t="shared" si="47"/>
        <v>35000000</v>
      </c>
      <c r="K121" s="261">
        <v>0</v>
      </c>
      <c r="L121" s="261">
        <v>0</v>
      </c>
      <c r="M121" s="261">
        <f t="shared" si="57"/>
        <v>0</v>
      </c>
      <c r="N121" s="261">
        <v>0</v>
      </c>
      <c r="O121" s="261">
        <v>35000000</v>
      </c>
      <c r="P121" s="261">
        <f t="shared" si="48"/>
        <v>35000000</v>
      </c>
      <c r="Q121" s="177">
        <f t="shared" si="49"/>
        <v>0</v>
      </c>
      <c r="R121" s="261">
        <f t="shared" si="50"/>
        <v>0</v>
      </c>
      <c r="T121" s="183" t="s">
        <v>201</v>
      </c>
      <c r="U121" s="259" t="s">
        <v>202</v>
      </c>
      <c r="V121" s="261">
        <v>35000000</v>
      </c>
      <c r="W121" s="261">
        <v>0</v>
      </c>
      <c r="X121" s="261">
        <v>0</v>
      </c>
      <c r="Y121" s="261">
        <v>0</v>
      </c>
      <c r="Z121" s="261">
        <v>35000000</v>
      </c>
      <c r="AA121" s="261">
        <v>0</v>
      </c>
      <c r="AB121" s="261">
        <v>0</v>
      </c>
      <c r="AC121" s="261">
        <v>35000000</v>
      </c>
      <c r="AD121" s="261">
        <v>0</v>
      </c>
      <c r="AE121" s="261">
        <v>0</v>
      </c>
      <c r="AF121" s="261">
        <v>0</v>
      </c>
      <c r="AG121" s="261">
        <v>0</v>
      </c>
      <c r="AH121" s="261">
        <v>35000000</v>
      </c>
      <c r="AI121" s="261">
        <v>35000000</v>
      </c>
      <c r="AJ121" s="261">
        <v>0</v>
      </c>
      <c r="AK121" s="261">
        <v>0</v>
      </c>
      <c r="AL121" s="261">
        <v>0</v>
      </c>
      <c r="AM121" s="261">
        <v>35000000</v>
      </c>
      <c r="AN121" s="261">
        <v>35000000</v>
      </c>
      <c r="AO121" s="261">
        <v>35000000</v>
      </c>
      <c r="AP121" s="261">
        <v>0</v>
      </c>
      <c r="AQ121" s="261"/>
      <c r="AS121" s="261"/>
    </row>
    <row r="122" spans="1:45" x14ac:dyDescent="0.25">
      <c r="A122" s="2" t="s">
        <v>203</v>
      </c>
      <c r="B122" s="259" t="s">
        <v>204</v>
      </c>
      <c r="C122" s="261">
        <v>400000</v>
      </c>
      <c r="D122" s="261">
        <v>0</v>
      </c>
      <c r="E122" s="261">
        <v>0</v>
      </c>
      <c r="F122" s="261">
        <v>0</v>
      </c>
      <c r="G122" s="261">
        <f>+C122+D122-E122+F122</f>
        <v>400000</v>
      </c>
      <c r="H122" s="261">
        <v>0</v>
      </c>
      <c r="I122" s="261">
        <v>0</v>
      </c>
      <c r="J122" s="261">
        <f t="shared" si="47"/>
        <v>400000</v>
      </c>
      <c r="K122" s="261">
        <v>0</v>
      </c>
      <c r="L122" s="261">
        <v>0</v>
      </c>
      <c r="M122" s="261">
        <f t="shared" si="57"/>
        <v>0</v>
      </c>
      <c r="N122" s="261">
        <v>0</v>
      </c>
      <c r="O122" s="261">
        <v>0</v>
      </c>
      <c r="P122" s="261">
        <f t="shared" si="48"/>
        <v>0</v>
      </c>
      <c r="Q122" s="177">
        <f t="shared" si="49"/>
        <v>400000</v>
      </c>
      <c r="R122" s="261">
        <f t="shared" si="50"/>
        <v>0</v>
      </c>
      <c r="T122" s="183" t="s">
        <v>203</v>
      </c>
      <c r="U122" s="259" t="s">
        <v>204</v>
      </c>
      <c r="V122" s="261">
        <v>400000</v>
      </c>
      <c r="W122" s="261">
        <v>0</v>
      </c>
      <c r="X122" s="261">
        <v>0</v>
      </c>
      <c r="Y122" s="261">
        <v>0</v>
      </c>
      <c r="Z122" s="261">
        <v>400000</v>
      </c>
      <c r="AA122" s="261">
        <v>0</v>
      </c>
      <c r="AB122" s="261">
        <v>0</v>
      </c>
      <c r="AC122" s="261">
        <v>400000</v>
      </c>
      <c r="AD122" s="261">
        <v>0</v>
      </c>
      <c r="AE122" s="261">
        <v>0</v>
      </c>
      <c r="AF122" s="261">
        <v>0</v>
      </c>
      <c r="AG122" s="261">
        <v>0</v>
      </c>
      <c r="AH122" s="261">
        <v>0</v>
      </c>
      <c r="AI122" s="261">
        <v>0</v>
      </c>
      <c r="AJ122" s="261">
        <v>400000</v>
      </c>
      <c r="AK122" s="261">
        <v>0</v>
      </c>
      <c r="AL122" s="261">
        <v>0</v>
      </c>
      <c r="AM122" s="261">
        <v>0</v>
      </c>
      <c r="AN122" s="261">
        <v>0</v>
      </c>
      <c r="AO122" s="261">
        <v>0</v>
      </c>
      <c r="AP122" s="261">
        <v>400000</v>
      </c>
      <c r="AQ122" s="261"/>
      <c r="AS122" s="261"/>
    </row>
    <row r="123" spans="1:45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 t="shared" ref="D123:R123" si="73">+D124+D130</f>
        <v>0</v>
      </c>
      <c r="E123" s="9">
        <f t="shared" si="73"/>
        <v>0</v>
      </c>
      <c r="F123" s="9">
        <f t="shared" si="73"/>
        <v>0</v>
      </c>
      <c r="G123" s="9">
        <f t="shared" si="73"/>
        <v>32300000</v>
      </c>
      <c r="H123" s="9">
        <f t="shared" si="73"/>
        <v>1248112</v>
      </c>
      <c r="I123" s="9">
        <f t="shared" si="73"/>
        <v>3495112</v>
      </c>
      <c r="J123" s="9">
        <f t="shared" si="47"/>
        <v>28804888</v>
      </c>
      <c r="K123" s="9">
        <f t="shared" si="73"/>
        <v>1248112</v>
      </c>
      <c r="L123" s="9">
        <f t="shared" si="73"/>
        <v>3495112</v>
      </c>
      <c r="M123" s="9">
        <f t="shared" si="73"/>
        <v>0</v>
      </c>
      <c r="N123" s="9">
        <f t="shared" si="73"/>
        <v>0</v>
      </c>
      <c r="O123" s="9">
        <f t="shared" si="73"/>
        <v>32000000</v>
      </c>
      <c r="P123" s="9">
        <f t="shared" si="73"/>
        <v>28504888</v>
      </c>
      <c r="Q123" s="9">
        <f t="shared" si="49"/>
        <v>300000</v>
      </c>
      <c r="R123" s="9">
        <f t="shared" si="73"/>
        <v>3495112</v>
      </c>
      <c r="T123" s="183" t="s">
        <v>205</v>
      </c>
      <c r="U123" s="259" t="s">
        <v>206</v>
      </c>
      <c r="V123" s="261">
        <v>32300000</v>
      </c>
      <c r="W123" s="261">
        <v>0</v>
      </c>
      <c r="X123" s="261">
        <v>0</v>
      </c>
      <c r="Y123" s="261">
        <v>0</v>
      </c>
      <c r="Z123" s="261">
        <v>32300000</v>
      </c>
      <c r="AA123" s="261">
        <v>1248112</v>
      </c>
      <c r="AB123" s="261">
        <v>3495112</v>
      </c>
      <c r="AC123" s="261">
        <v>28804888</v>
      </c>
      <c r="AD123" s="261">
        <v>1248112</v>
      </c>
      <c r="AE123" s="261">
        <v>3495112</v>
      </c>
      <c r="AF123" s="261">
        <v>0</v>
      </c>
      <c r="AG123" s="261">
        <v>0</v>
      </c>
      <c r="AH123" s="261">
        <v>32000000</v>
      </c>
      <c r="AI123" s="261">
        <v>28504888</v>
      </c>
      <c r="AJ123" s="261">
        <v>300000</v>
      </c>
      <c r="AK123" s="261">
        <v>0</v>
      </c>
      <c r="AL123" s="261">
        <v>0</v>
      </c>
      <c r="AM123" s="261">
        <v>32000000</v>
      </c>
      <c r="AN123" s="261">
        <v>32000000</v>
      </c>
      <c r="AO123" s="261">
        <v>29753000</v>
      </c>
      <c r="AP123" s="261">
        <v>300000</v>
      </c>
      <c r="AQ123" s="9"/>
      <c r="AS123" s="9"/>
    </row>
    <row r="124" spans="1:45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 t="shared" ref="D124:R124" si="74">SUM(D125:D129)</f>
        <v>0</v>
      </c>
      <c r="E124" s="9">
        <f t="shared" si="74"/>
        <v>0</v>
      </c>
      <c r="F124" s="9">
        <f t="shared" si="74"/>
        <v>0</v>
      </c>
      <c r="G124" s="9">
        <f t="shared" si="74"/>
        <v>32000000</v>
      </c>
      <c r="H124" s="9">
        <f t="shared" si="74"/>
        <v>1248112</v>
      </c>
      <c r="I124" s="9">
        <f t="shared" si="74"/>
        <v>3495112</v>
      </c>
      <c r="J124" s="9">
        <f t="shared" si="47"/>
        <v>28504888</v>
      </c>
      <c r="K124" s="9">
        <f t="shared" si="74"/>
        <v>1248112</v>
      </c>
      <c r="L124" s="9">
        <f t="shared" si="74"/>
        <v>3495112</v>
      </c>
      <c r="M124" s="9">
        <f t="shared" si="74"/>
        <v>0</v>
      </c>
      <c r="N124" s="9">
        <f t="shared" si="74"/>
        <v>0</v>
      </c>
      <c r="O124" s="9">
        <f t="shared" si="74"/>
        <v>32000000</v>
      </c>
      <c r="P124" s="9">
        <f t="shared" si="74"/>
        <v>28504888</v>
      </c>
      <c r="Q124" s="9">
        <f t="shared" si="49"/>
        <v>0</v>
      </c>
      <c r="R124" s="9">
        <f t="shared" si="74"/>
        <v>3495112</v>
      </c>
      <c r="T124" s="183" t="s">
        <v>207</v>
      </c>
      <c r="U124" s="259" t="s">
        <v>208</v>
      </c>
      <c r="V124" s="261">
        <v>32000000</v>
      </c>
      <c r="W124" s="261">
        <v>0</v>
      </c>
      <c r="X124" s="261">
        <v>0</v>
      </c>
      <c r="Y124" s="261">
        <v>0</v>
      </c>
      <c r="Z124" s="261">
        <v>32000000</v>
      </c>
      <c r="AA124" s="261">
        <v>1248112</v>
      </c>
      <c r="AB124" s="261">
        <v>3495112</v>
      </c>
      <c r="AC124" s="261">
        <v>28504888</v>
      </c>
      <c r="AD124" s="261">
        <v>1248112</v>
      </c>
      <c r="AE124" s="261">
        <v>3495112</v>
      </c>
      <c r="AF124" s="261">
        <v>0</v>
      </c>
      <c r="AG124" s="261">
        <v>0</v>
      </c>
      <c r="AH124" s="261">
        <v>32000000</v>
      </c>
      <c r="AI124" s="261">
        <v>28504888</v>
      </c>
      <c r="AJ124" s="261">
        <v>0</v>
      </c>
      <c r="AK124" s="261">
        <v>0</v>
      </c>
      <c r="AL124" s="261">
        <v>0</v>
      </c>
      <c r="AM124" s="261">
        <v>32000000</v>
      </c>
      <c r="AN124" s="261">
        <v>32000000</v>
      </c>
      <c r="AO124" s="261">
        <v>29753000</v>
      </c>
      <c r="AP124" s="261">
        <v>0</v>
      </c>
      <c r="AQ124" s="9"/>
      <c r="AS124" s="9"/>
    </row>
    <row r="125" spans="1:45" x14ac:dyDescent="0.25">
      <c r="A125" s="2" t="s">
        <v>209</v>
      </c>
      <c r="B125" s="259" t="s">
        <v>210</v>
      </c>
      <c r="C125" s="261">
        <v>10000000</v>
      </c>
      <c r="D125" s="261">
        <v>0</v>
      </c>
      <c r="E125" s="261">
        <v>0</v>
      </c>
      <c r="F125" s="261">
        <v>0</v>
      </c>
      <c r="G125" s="261">
        <f t="shared" ref="G125:G130" si="75">+C125+D125-E125+F125</f>
        <v>10000000</v>
      </c>
      <c r="H125" s="261">
        <v>0</v>
      </c>
      <c r="I125" s="261">
        <v>2247000</v>
      </c>
      <c r="J125" s="261">
        <f t="shared" si="47"/>
        <v>7753000</v>
      </c>
      <c r="K125" s="261">
        <v>0</v>
      </c>
      <c r="L125" s="261">
        <v>2247000</v>
      </c>
      <c r="M125" s="261">
        <f t="shared" si="57"/>
        <v>0</v>
      </c>
      <c r="N125" s="261">
        <v>0</v>
      </c>
      <c r="O125" s="261">
        <v>10000000</v>
      </c>
      <c r="P125" s="261">
        <f t="shared" si="48"/>
        <v>7753000</v>
      </c>
      <c r="Q125" s="177">
        <f t="shared" si="49"/>
        <v>0</v>
      </c>
      <c r="R125" s="261">
        <f t="shared" si="50"/>
        <v>2247000</v>
      </c>
      <c r="T125" s="183" t="s">
        <v>209</v>
      </c>
      <c r="U125" s="259" t="s">
        <v>210</v>
      </c>
      <c r="V125" s="261">
        <v>10000000</v>
      </c>
      <c r="W125" s="261">
        <v>0</v>
      </c>
      <c r="X125" s="261">
        <v>0</v>
      </c>
      <c r="Y125" s="261">
        <v>0</v>
      </c>
      <c r="Z125" s="261">
        <v>10000000</v>
      </c>
      <c r="AA125" s="261">
        <v>0</v>
      </c>
      <c r="AB125" s="261">
        <v>2247000</v>
      </c>
      <c r="AC125" s="261">
        <v>7753000</v>
      </c>
      <c r="AD125" s="261">
        <v>0</v>
      </c>
      <c r="AE125" s="261">
        <v>2247000</v>
      </c>
      <c r="AF125" s="261">
        <v>0</v>
      </c>
      <c r="AG125" s="261">
        <v>0</v>
      </c>
      <c r="AH125" s="261">
        <v>10000000</v>
      </c>
      <c r="AI125" s="261">
        <v>7753000</v>
      </c>
      <c r="AJ125" s="261">
        <v>0</v>
      </c>
      <c r="AK125" s="261">
        <v>0</v>
      </c>
      <c r="AL125" s="261">
        <v>0</v>
      </c>
      <c r="AM125" s="261">
        <v>10000000</v>
      </c>
      <c r="AN125" s="261">
        <v>10000000</v>
      </c>
      <c r="AO125" s="261">
        <v>7753000</v>
      </c>
      <c r="AP125" s="261">
        <v>0</v>
      </c>
      <c r="AQ125" s="261"/>
      <c r="AS125" s="261"/>
    </row>
    <row r="126" spans="1:45" x14ac:dyDescent="0.25">
      <c r="A126" s="2" t="s">
        <v>211</v>
      </c>
      <c r="B126" s="259" t="s">
        <v>212</v>
      </c>
      <c r="C126" s="261">
        <v>2000000</v>
      </c>
      <c r="D126" s="261">
        <v>0</v>
      </c>
      <c r="E126" s="261">
        <v>0</v>
      </c>
      <c r="F126" s="261">
        <v>0</v>
      </c>
      <c r="G126" s="261">
        <f t="shared" si="75"/>
        <v>2000000</v>
      </c>
      <c r="H126" s="261">
        <v>0</v>
      </c>
      <c r="I126" s="261">
        <v>0</v>
      </c>
      <c r="J126" s="261">
        <f t="shared" si="47"/>
        <v>2000000</v>
      </c>
      <c r="K126" s="261">
        <v>0</v>
      </c>
      <c r="L126" s="261">
        <v>0</v>
      </c>
      <c r="M126" s="261">
        <f t="shared" si="57"/>
        <v>0</v>
      </c>
      <c r="N126" s="261">
        <v>0</v>
      </c>
      <c r="O126" s="261">
        <v>2000000</v>
      </c>
      <c r="P126" s="261">
        <f t="shared" si="48"/>
        <v>2000000</v>
      </c>
      <c r="Q126" s="177">
        <f t="shared" si="49"/>
        <v>0</v>
      </c>
      <c r="R126" s="261">
        <f t="shared" si="50"/>
        <v>0</v>
      </c>
      <c r="T126" s="183" t="s">
        <v>211</v>
      </c>
      <c r="U126" s="259" t="s">
        <v>212</v>
      </c>
      <c r="V126" s="261">
        <v>2000000</v>
      </c>
      <c r="W126" s="261">
        <v>0</v>
      </c>
      <c r="X126" s="261">
        <v>0</v>
      </c>
      <c r="Y126" s="261">
        <v>0</v>
      </c>
      <c r="Z126" s="261">
        <v>2000000</v>
      </c>
      <c r="AA126" s="261">
        <v>0</v>
      </c>
      <c r="AB126" s="261">
        <v>0</v>
      </c>
      <c r="AC126" s="261">
        <v>2000000</v>
      </c>
      <c r="AD126" s="261">
        <v>0</v>
      </c>
      <c r="AE126" s="261">
        <v>0</v>
      </c>
      <c r="AF126" s="261">
        <v>0</v>
      </c>
      <c r="AG126" s="261">
        <v>0</v>
      </c>
      <c r="AH126" s="261">
        <v>2000000</v>
      </c>
      <c r="AI126" s="261">
        <v>2000000</v>
      </c>
      <c r="AJ126" s="261">
        <v>0</v>
      </c>
      <c r="AK126" s="261">
        <v>0</v>
      </c>
      <c r="AL126" s="261">
        <v>0</v>
      </c>
      <c r="AM126" s="261">
        <v>2000000</v>
      </c>
      <c r="AN126" s="261">
        <v>2000000</v>
      </c>
      <c r="AO126" s="261">
        <v>2000000</v>
      </c>
      <c r="AP126" s="261">
        <v>0</v>
      </c>
      <c r="AQ126" s="261"/>
      <c r="AS126" s="261"/>
    </row>
    <row r="127" spans="1:45" x14ac:dyDescent="0.25">
      <c r="A127" s="2" t="s">
        <v>213</v>
      </c>
      <c r="B127" s="259" t="s">
        <v>214</v>
      </c>
      <c r="C127" s="261">
        <v>5000000</v>
      </c>
      <c r="D127" s="261">
        <v>0</v>
      </c>
      <c r="E127" s="261">
        <v>0</v>
      </c>
      <c r="F127" s="261">
        <v>0</v>
      </c>
      <c r="G127" s="261">
        <f t="shared" si="75"/>
        <v>5000000</v>
      </c>
      <c r="H127" s="261">
        <v>0</v>
      </c>
      <c r="I127" s="261">
        <v>0</v>
      </c>
      <c r="J127" s="261">
        <f t="shared" si="47"/>
        <v>5000000</v>
      </c>
      <c r="K127" s="261">
        <v>0</v>
      </c>
      <c r="L127" s="261">
        <v>0</v>
      </c>
      <c r="M127" s="261">
        <f t="shared" si="57"/>
        <v>0</v>
      </c>
      <c r="N127" s="261">
        <v>0</v>
      </c>
      <c r="O127" s="261">
        <v>5000000</v>
      </c>
      <c r="P127" s="261">
        <f t="shared" si="48"/>
        <v>5000000</v>
      </c>
      <c r="Q127" s="177">
        <f t="shared" si="49"/>
        <v>0</v>
      </c>
      <c r="R127" s="261">
        <f t="shared" si="50"/>
        <v>0</v>
      </c>
      <c r="T127" s="183" t="s">
        <v>213</v>
      </c>
      <c r="U127" s="259" t="s">
        <v>214</v>
      </c>
      <c r="V127" s="261">
        <v>5000000</v>
      </c>
      <c r="W127" s="261">
        <v>0</v>
      </c>
      <c r="X127" s="261">
        <v>0</v>
      </c>
      <c r="Y127" s="261">
        <v>0</v>
      </c>
      <c r="Z127" s="261">
        <v>5000000</v>
      </c>
      <c r="AA127" s="261">
        <v>0</v>
      </c>
      <c r="AB127" s="261">
        <v>0</v>
      </c>
      <c r="AC127" s="261">
        <v>5000000</v>
      </c>
      <c r="AD127" s="261">
        <v>0</v>
      </c>
      <c r="AE127" s="261">
        <v>0</v>
      </c>
      <c r="AF127" s="261">
        <v>0</v>
      </c>
      <c r="AG127" s="261">
        <v>0</v>
      </c>
      <c r="AH127" s="261">
        <v>5000000</v>
      </c>
      <c r="AI127" s="261">
        <v>5000000</v>
      </c>
      <c r="AJ127" s="261">
        <v>0</v>
      </c>
      <c r="AK127" s="261">
        <v>0</v>
      </c>
      <c r="AL127" s="261">
        <v>0</v>
      </c>
      <c r="AM127" s="261">
        <v>5000000</v>
      </c>
      <c r="AN127" s="261">
        <v>5000000</v>
      </c>
      <c r="AO127" s="261">
        <v>5000000</v>
      </c>
      <c r="AP127" s="261">
        <v>0</v>
      </c>
      <c r="AQ127" s="261"/>
      <c r="AS127" s="261"/>
    </row>
    <row r="128" spans="1:45" x14ac:dyDescent="0.25">
      <c r="A128" s="2" t="s">
        <v>215</v>
      </c>
      <c r="B128" s="259" t="s">
        <v>216</v>
      </c>
      <c r="C128" s="261">
        <v>5000000</v>
      </c>
      <c r="D128" s="261">
        <v>0</v>
      </c>
      <c r="E128" s="261">
        <v>0</v>
      </c>
      <c r="F128" s="261">
        <v>0</v>
      </c>
      <c r="G128" s="261">
        <f t="shared" si="75"/>
        <v>5000000</v>
      </c>
      <c r="H128" s="261">
        <v>0</v>
      </c>
      <c r="I128" s="261">
        <v>0</v>
      </c>
      <c r="J128" s="261">
        <f t="shared" si="47"/>
        <v>5000000</v>
      </c>
      <c r="K128" s="261">
        <v>0</v>
      </c>
      <c r="L128" s="261">
        <v>0</v>
      </c>
      <c r="M128" s="261">
        <f t="shared" si="57"/>
        <v>0</v>
      </c>
      <c r="N128" s="261">
        <v>0</v>
      </c>
      <c r="O128" s="261">
        <v>5000000</v>
      </c>
      <c r="P128" s="261">
        <f t="shared" si="48"/>
        <v>5000000</v>
      </c>
      <c r="Q128" s="177">
        <f t="shared" si="49"/>
        <v>0</v>
      </c>
      <c r="R128" s="261">
        <f t="shared" si="50"/>
        <v>0</v>
      </c>
      <c r="T128" s="183" t="s">
        <v>215</v>
      </c>
      <c r="U128" s="259" t="s">
        <v>216</v>
      </c>
      <c r="V128" s="261">
        <v>5000000</v>
      </c>
      <c r="W128" s="261">
        <v>0</v>
      </c>
      <c r="X128" s="261">
        <v>0</v>
      </c>
      <c r="Y128" s="261">
        <v>0</v>
      </c>
      <c r="Z128" s="261">
        <v>5000000</v>
      </c>
      <c r="AA128" s="261">
        <v>0</v>
      </c>
      <c r="AB128" s="261">
        <v>0</v>
      </c>
      <c r="AC128" s="261">
        <v>5000000</v>
      </c>
      <c r="AD128" s="261">
        <v>0</v>
      </c>
      <c r="AE128" s="261">
        <v>0</v>
      </c>
      <c r="AF128" s="261">
        <v>0</v>
      </c>
      <c r="AG128" s="261">
        <v>0</v>
      </c>
      <c r="AH128" s="261">
        <v>5000000</v>
      </c>
      <c r="AI128" s="261">
        <v>5000000</v>
      </c>
      <c r="AJ128" s="261">
        <v>0</v>
      </c>
      <c r="AK128" s="261">
        <v>0</v>
      </c>
      <c r="AL128" s="261">
        <v>0</v>
      </c>
      <c r="AM128" s="261">
        <v>5000000</v>
      </c>
      <c r="AN128" s="261">
        <v>5000000</v>
      </c>
      <c r="AO128" s="261">
        <v>5000000</v>
      </c>
      <c r="AP128" s="261">
        <v>0</v>
      </c>
      <c r="AQ128" s="261"/>
      <c r="AS128" s="261"/>
    </row>
    <row r="129" spans="1:45" x14ac:dyDescent="0.25">
      <c r="A129" s="2" t="s">
        <v>217</v>
      </c>
      <c r="B129" s="259" t="s">
        <v>218</v>
      </c>
      <c r="C129" s="261">
        <v>10000000</v>
      </c>
      <c r="D129" s="261">
        <v>0</v>
      </c>
      <c r="E129" s="261">
        <v>0</v>
      </c>
      <c r="F129" s="261">
        <v>0</v>
      </c>
      <c r="G129" s="261">
        <f t="shared" si="75"/>
        <v>10000000</v>
      </c>
      <c r="H129" s="261">
        <v>1248112</v>
      </c>
      <c r="I129" s="261">
        <v>1248112</v>
      </c>
      <c r="J129" s="261">
        <f t="shared" si="47"/>
        <v>8751888</v>
      </c>
      <c r="K129" s="261">
        <v>1248112</v>
      </c>
      <c r="L129" s="261">
        <v>1248112</v>
      </c>
      <c r="M129" s="261">
        <f t="shared" si="57"/>
        <v>0</v>
      </c>
      <c r="N129" s="261">
        <v>0</v>
      </c>
      <c r="O129" s="261">
        <v>10000000</v>
      </c>
      <c r="P129" s="261">
        <f t="shared" si="48"/>
        <v>8751888</v>
      </c>
      <c r="Q129" s="177">
        <f t="shared" si="49"/>
        <v>0</v>
      </c>
      <c r="R129" s="261">
        <f t="shared" si="50"/>
        <v>1248112</v>
      </c>
      <c r="T129" s="183" t="s">
        <v>217</v>
      </c>
      <c r="U129" s="259" t="s">
        <v>218</v>
      </c>
      <c r="V129" s="261">
        <v>10000000</v>
      </c>
      <c r="W129" s="261">
        <v>0</v>
      </c>
      <c r="X129" s="261">
        <v>0</v>
      </c>
      <c r="Y129" s="261">
        <v>0</v>
      </c>
      <c r="Z129" s="261">
        <v>10000000</v>
      </c>
      <c r="AA129" s="261">
        <v>1248112</v>
      </c>
      <c r="AB129" s="261">
        <v>1248112</v>
      </c>
      <c r="AC129" s="261">
        <v>8751888</v>
      </c>
      <c r="AD129" s="261">
        <v>1248112</v>
      </c>
      <c r="AE129" s="261">
        <v>1248112</v>
      </c>
      <c r="AF129" s="261">
        <v>0</v>
      </c>
      <c r="AG129" s="261">
        <v>0</v>
      </c>
      <c r="AH129" s="261">
        <v>10000000</v>
      </c>
      <c r="AI129" s="261">
        <v>8751888</v>
      </c>
      <c r="AJ129" s="261">
        <v>0</v>
      </c>
      <c r="AK129" s="261">
        <v>0</v>
      </c>
      <c r="AL129" s="261">
        <v>0</v>
      </c>
      <c r="AM129" s="261">
        <v>10000000</v>
      </c>
      <c r="AN129" s="261">
        <v>10000000</v>
      </c>
      <c r="AO129" s="261">
        <v>10000000</v>
      </c>
      <c r="AP129" s="261">
        <v>0</v>
      </c>
      <c r="AQ129" s="261"/>
      <c r="AS129" s="261"/>
    </row>
    <row r="130" spans="1:45" x14ac:dyDescent="0.25">
      <c r="A130" s="2" t="s">
        <v>219</v>
      </c>
      <c r="B130" s="259" t="s">
        <v>220</v>
      </c>
      <c r="C130" s="261">
        <v>300000</v>
      </c>
      <c r="D130" s="261">
        <v>0</v>
      </c>
      <c r="E130" s="261">
        <v>0</v>
      </c>
      <c r="F130" s="261">
        <v>0</v>
      </c>
      <c r="G130" s="261">
        <f t="shared" si="75"/>
        <v>300000</v>
      </c>
      <c r="H130" s="261">
        <v>0</v>
      </c>
      <c r="I130" s="261">
        <v>0</v>
      </c>
      <c r="J130" s="261">
        <f t="shared" si="47"/>
        <v>300000</v>
      </c>
      <c r="K130" s="261">
        <v>0</v>
      </c>
      <c r="L130" s="261">
        <v>0</v>
      </c>
      <c r="M130" s="261">
        <f t="shared" si="57"/>
        <v>0</v>
      </c>
      <c r="N130" s="261">
        <v>0</v>
      </c>
      <c r="O130" s="261">
        <v>0</v>
      </c>
      <c r="P130" s="261">
        <f t="shared" si="48"/>
        <v>0</v>
      </c>
      <c r="Q130" s="177">
        <f t="shared" si="49"/>
        <v>300000</v>
      </c>
      <c r="R130" s="261">
        <f t="shared" si="50"/>
        <v>0</v>
      </c>
      <c r="T130" s="183" t="s">
        <v>219</v>
      </c>
      <c r="U130" s="259" t="s">
        <v>220</v>
      </c>
      <c r="V130" s="261">
        <v>300000</v>
      </c>
      <c r="W130" s="261">
        <v>0</v>
      </c>
      <c r="X130" s="261">
        <v>0</v>
      </c>
      <c r="Y130" s="261">
        <v>0</v>
      </c>
      <c r="Z130" s="261">
        <v>300000</v>
      </c>
      <c r="AA130" s="261">
        <v>0</v>
      </c>
      <c r="AB130" s="261">
        <v>0</v>
      </c>
      <c r="AC130" s="261">
        <v>300000</v>
      </c>
      <c r="AD130" s="261">
        <v>0</v>
      </c>
      <c r="AE130" s="261">
        <v>0</v>
      </c>
      <c r="AF130" s="261">
        <v>0</v>
      </c>
      <c r="AG130" s="261">
        <v>0</v>
      </c>
      <c r="AH130" s="261">
        <v>0</v>
      </c>
      <c r="AI130" s="261">
        <v>0</v>
      </c>
      <c r="AJ130" s="261">
        <v>300000</v>
      </c>
      <c r="AK130" s="261">
        <v>0</v>
      </c>
      <c r="AL130" s="261">
        <v>0</v>
      </c>
      <c r="AM130" s="261">
        <v>0</v>
      </c>
      <c r="AN130" s="261">
        <v>0</v>
      </c>
      <c r="AO130" s="261">
        <v>0</v>
      </c>
      <c r="AP130" s="261">
        <v>300000</v>
      </c>
      <c r="AQ130" s="261"/>
      <c r="AS130" s="261"/>
    </row>
    <row r="131" spans="1:45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 t="shared" ref="D131:R131" si="76">+D132</f>
        <v>0</v>
      </c>
      <c r="E131" s="9">
        <f t="shared" si="76"/>
        <v>0</v>
      </c>
      <c r="F131" s="9">
        <f t="shared" si="76"/>
        <v>0</v>
      </c>
      <c r="G131" s="9">
        <f t="shared" si="76"/>
        <v>5000000</v>
      </c>
      <c r="H131" s="9">
        <f t="shared" si="76"/>
        <v>0</v>
      </c>
      <c r="I131" s="9">
        <f t="shared" si="76"/>
        <v>0</v>
      </c>
      <c r="J131" s="9">
        <f t="shared" si="47"/>
        <v>5000000</v>
      </c>
      <c r="K131" s="9">
        <f t="shared" si="76"/>
        <v>0</v>
      </c>
      <c r="L131" s="9">
        <f t="shared" si="76"/>
        <v>0</v>
      </c>
      <c r="M131" s="9">
        <f t="shared" si="76"/>
        <v>0</v>
      </c>
      <c r="N131" s="9">
        <f t="shared" si="76"/>
        <v>0</v>
      </c>
      <c r="O131" s="9">
        <f t="shared" si="76"/>
        <v>0</v>
      </c>
      <c r="P131" s="9">
        <f t="shared" si="76"/>
        <v>0</v>
      </c>
      <c r="Q131" s="9">
        <f t="shared" si="49"/>
        <v>5000000</v>
      </c>
      <c r="R131" s="9">
        <f t="shared" si="76"/>
        <v>0</v>
      </c>
      <c r="T131" s="183" t="s">
        <v>221</v>
      </c>
      <c r="U131" s="259" t="s">
        <v>222</v>
      </c>
      <c r="V131" s="261">
        <v>5000000</v>
      </c>
      <c r="W131" s="261">
        <v>0</v>
      </c>
      <c r="X131" s="261">
        <v>0</v>
      </c>
      <c r="Y131" s="261">
        <v>0</v>
      </c>
      <c r="Z131" s="261">
        <v>5000000</v>
      </c>
      <c r="AA131" s="261">
        <v>0</v>
      </c>
      <c r="AB131" s="261">
        <v>0</v>
      </c>
      <c r="AC131" s="261">
        <v>5000000</v>
      </c>
      <c r="AD131" s="261">
        <v>0</v>
      </c>
      <c r="AE131" s="261">
        <v>0</v>
      </c>
      <c r="AF131" s="261">
        <v>0</v>
      </c>
      <c r="AG131" s="261">
        <v>0</v>
      </c>
      <c r="AH131" s="261">
        <v>0</v>
      </c>
      <c r="AI131" s="261">
        <v>0</v>
      </c>
      <c r="AJ131" s="261">
        <v>5000000</v>
      </c>
      <c r="AK131" s="261">
        <v>0</v>
      </c>
      <c r="AL131" s="261">
        <v>0</v>
      </c>
      <c r="AM131" s="261">
        <v>0</v>
      </c>
      <c r="AN131" s="261">
        <v>0</v>
      </c>
      <c r="AO131" s="261">
        <v>0</v>
      </c>
      <c r="AP131" s="261">
        <v>5000000</v>
      </c>
      <c r="AQ131" s="9"/>
      <c r="AS131" s="9"/>
    </row>
    <row r="132" spans="1:45" x14ac:dyDescent="0.25">
      <c r="A132" s="2" t="s">
        <v>223</v>
      </c>
      <c r="B132" s="259" t="s">
        <v>224</v>
      </c>
      <c r="C132" s="261">
        <v>5000000</v>
      </c>
      <c r="D132" s="261">
        <v>0</v>
      </c>
      <c r="E132" s="261">
        <v>0</v>
      </c>
      <c r="F132" s="261">
        <v>0</v>
      </c>
      <c r="G132" s="261">
        <f>+C132+D132-E132+F132</f>
        <v>5000000</v>
      </c>
      <c r="H132" s="261">
        <v>0</v>
      </c>
      <c r="I132" s="261">
        <v>0</v>
      </c>
      <c r="J132" s="261">
        <f t="shared" si="47"/>
        <v>5000000</v>
      </c>
      <c r="K132" s="261">
        <v>0</v>
      </c>
      <c r="L132" s="261">
        <v>0</v>
      </c>
      <c r="M132" s="261">
        <f t="shared" si="57"/>
        <v>0</v>
      </c>
      <c r="N132" s="261">
        <v>0</v>
      </c>
      <c r="O132" s="261">
        <v>0</v>
      </c>
      <c r="P132" s="261">
        <f t="shared" si="48"/>
        <v>0</v>
      </c>
      <c r="Q132" s="177">
        <f t="shared" si="49"/>
        <v>5000000</v>
      </c>
      <c r="R132" s="261">
        <f t="shared" si="50"/>
        <v>0</v>
      </c>
      <c r="T132" s="183" t="s">
        <v>223</v>
      </c>
      <c r="U132" s="259" t="s">
        <v>224</v>
      </c>
      <c r="V132" s="261">
        <v>5000000</v>
      </c>
      <c r="W132" s="261">
        <v>0</v>
      </c>
      <c r="X132" s="261">
        <v>0</v>
      </c>
      <c r="Y132" s="261">
        <v>0</v>
      </c>
      <c r="Z132" s="261">
        <v>5000000</v>
      </c>
      <c r="AA132" s="261">
        <v>0</v>
      </c>
      <c r="AB132" s="261">
        <v>0</v>
      </c>
      <c r="AC132" s="261">
        <v>5000000</v>
      </c>
      <c r="AD132" s="261">
        <v>0</v>
      </c>
      <c r="AE132" s="261">
        <v>0</v>
      </c>
      <c r="AF132" s="261">
        <v>0</v>
      </c>
      <c r="AG132" s="261">
        <v>0</v>
      </c>
      <c r="AH132" s="261">
        <v>0</v>
      </c>
      <c r="AI132" s="261">
        <v>0</v>
      </c>
      <c r="AJ132" s="261">
        <v>5000000</v>
      </c>
      <c r="AK132" s="261">
        <v>0</v>
      </c>
      <c r="AL132" s="261">
        <v>0</v>
      </c>
      <c r="AM132" s="261">
        <v>0</v>
      </c>
      <c r="AN132" s="261">
        <v>0</v>
      </c>
      <c r="AO132" s="261">
        <v>0</v>
      </c>
      <c r="AP132" s="261">
        <v>5000000</v>
      </c>
      <c r="AQ132" s="261"/>
      <c r="AS132" s="261"/>
    </row>
    <row r="133" spans="1:45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 t="shared" ref="D133:R133" si="77">+D134+D135+D136+D138</f>
        <v>0</v>
      </c>
      <c r="E133" s="9">
        <f t="shared" si="77"/>
        <v>0</v>
      </c>
      <c r="F133" s="9">
        <f t="shared" si="77"/>
        <v>0</v>
      </c>
      <c r="G133" s="9">
        <f t="shared" si="77"/>
        <v>45600000</v>
      </c>
      <c r="H133" s="9">
        <f t="shared" si="77"/>
        <v>3507583</v>
      </c>
      <c r="I133" s="9">
        <f t="shared" si="77"/>
        <v>11947863</v>
      </c>
      <c r="J133" s="9">
        <f t="shared" si="47"/>
        <v>33652137</v>
      </c>
      <c r="K133" s="9">
        <f t="shared" si="77"/>
        <v>3507583</v>
      </c>
      <c r="L133" s="9">
        <f t="shared" si="77"/>
        <v>18947863</v>
      </c>
      <c r="M133" s="9">
        <f t="shared" si="77"/>
        <v>-7000000</v>
      </c>
      <c r="N133" s="9">
        <f t="shared" si="77"/>
        <v>0</v>
      </c>
      <c r="O133" s="9">
        <f t="shared" si="77"/>
        <v>29000000</v>
      </c>
      <c r="P133" s="9">
        <f t="shared" si="77"/>
        <v>17052137</v>
      </c>
      <c r="Q133" s="9">
        <f t="shared" si="49"/>
        <v>16600000</v>
      </c>
      <c r="R133" s="9">
        <f t="shared" si="77"/>
        <v>18947863</v>
      </c>
      <c r="T133" s="183" t="s">
        <v>225</v>
      </c>
      <c r="U133" s="259" t="s">
        <v>226</v>
      </c>
      <c r="V133" s="261">
        <v>45600000</v>
      </c>
      <c r="W133" s="261">
        <v>0</v>
      </c>
      <c r="X133" s="261">
        <v>0</v>
      </c>
      <c r="Y133" s="261">
        <v>0</v>
      </c>
      <c r="Z133" s="261">
        <v>45600000</v>
      </c>
      <c r="AA133" s="261">
        <v>3507583</v>
      </c>
      <c r="AB133" s="261">
        <v>11947863</v>
      </c>
      <c r="AC133" s="261">
        <v>33652137</v>
      </c>
      <c r="AD133" s="261">
        <v>3507583</v>
      </c>
      <c r="AE133" s="261">
        <v>18947863</v>
      </c>
      <c r="AF133" s="261">
        <v>0</v>
      </c>
      <c r="AG133" s="261">
        <v>0</v>
      </c>
      <c r="AH133" s="261">
        <v>29000000</v>
      </c>
      <c r="AI133" s="261">
        <v>17052137</v>
      </c>
      <c r="AJ133" s="261">
        <v>16600000</v>
      </c>
      <c r="AK133" s="261">
        <v>0</v>
      </c>
      <c r="AL133" s="261">
        <v>0</v>
      </c>
      <c r="AM133" s="261">
        <v>29000000</v>
      </c>
      <c r="AN133" s="261">
        <v>29000000</v>
      </c>
      <c r="AO133" s="261">
        <v>17599297</v>
      </c>
      <c r="AP133" s="261">
        <v>16600000</v>
      </c>
      <c r="AQ133" s="9"/>
      <c r="AS133" s="9"/>
    </row>
    <row r="134" spans="1:45" x14ac:dyDescent="0.25">
      <c r="A134" s="2" t="s">
        <v>227</v>
      </c>
      <c r="B134" s="259" t="s">
        <v>228</v>
      </c>
      <c r="C134" s="261">
        <v>12000000</v>
      </c>
      <c r="D134" s="261">
        <v>0</v>
      </c>
      <c r="E134" s="261">
        <v>0</v>
      </c>
      <c r="F134" s="261">
        <v>0</v>
      </c>
      <c r="G134" s="261">
        <f>+C134+D134-E134+F134</f>
        <v>12000000</v>
      </c>
      <c r="H134" s="261">
        <v>0</v>
      </c>
      <c r="I134" s="261">
        <v>0</v>
      </c>
      <c r="J134" s="261">
        <f t="shared" si="47"/>
        <v>12000000</v>
      </c>
      <c r="K134" s="261">
        <v>0</v>
      </c>
      <c r="L134" s="261">
        <v>0</v>
      </c>
      <c r="M134" s="261">
        <f t="shared" si="57"/>
        <v>0</v>
      </c>
      <c r="N134" s="261">
        <v>0</v>
      </c>
      <c r="O134" s="261">
        <v>0</v>
      </c>
      <c r="P134" s="261">
        <f t="shared" si="48"/>
        <v>0</v>
      </c>
      <c r="Q134" s="177">
        <f t="shared" si="49"/>
        <v>12000000</v>
      </c>
      <c r="R134" s="261">
        <f t="shared" si="50"/>
        <v>0</v>
      </c>
      <c r="T134" s="183" t="s">
        <v>227</v>
      </c>
      <c r="U134" s="259" t="s">
        <v>228</v>
      </c>
      <c r="V134" s="261">
        <v>12000000</v>
      </c>
      <c r="W134" s="261">
        <v>0</v>
      </c>
      <c r="X134" s="261">
        <v>0</v>
      </c>
      <c r="Y134" s="261">
        <v>0</v>
      </c>
      <c r="Z134" s="261">
        <v>12000000</v>
      </c>
      <c r="AA134" s="261">
        <v>0</v>
      </c>
      <c r="AB134" s="261">
        <v>0</v>
      </c>
      <c r="AC134" s="261">
        <v>12000000</v>
      </c>
      <c r="AD134" s="261">
        <v>0</v>
      </c>
      <c r="AE134" s="261">
        <v>0</v>
      </c>
      <c r="AF134" s="261">
        <v>0</v>
      </c>
      <c r="AG134" s="261">
        <v>0</v>
      </c>
      <c r="AH134" s="261">
        <v>0</v>
      </c>
      <c r="AI134" s="261">
        <v>0</v>
      </c>
      <c r="AJ134" s="261">
        <v>12000000</v>
      </c>
      <c r="AK134" s="261">
        <v>0</v>
      </c>
      <c r="AL134" s="261">
        <v>0</v>
      </c>
      <c r="AM134" s="261">
        <v>0</v>
      </c>
      <c r="AN134" s="261">
        <v>0</v>
      </c>
      <c r="AO134" s="261">
        <v>0</v>
      </c>
      <c r="AP134" s="261">
        <v>12000000</v>
      </c>
      <c r="AQ134" s="261"/>
      <c r="AS134" s="261"/>
    </row>
    <row r="135" spans="1:45" x14ac:dyDescent="0.25">
      <c r="A135" s="2" t="s">
        <v>229</v>
      </c>
      <c r="B135" s="259" t="s">
        <v>230</v>
      </c>
      <c r="C135" s="261">
        <v>2000000</v>
      </c>
      <c r="D135" s="261">
        <v>0</v>
      </c>
      <c r="E135" s="261">
        <v>0</v>
      </c>
      <c r="F135" s="261">
        <v>0</v>
      </c>
      <c r="G135" s="261">
        <f>+C135+D135-E135+F135</f>
        <v>2000000</v>
      </c>
      <c r="H135" s="261">
        <v>0</v>
      </c>
      <c r="I135" s="261">
        <v>0</v>
      </c>
      <c r="J135" s="261">
        <f t="shared" si="47"/>
        <v>2000000</v>
      </c>
      <c r="K135" s="261">
        <v>0</v>
      </c>
      <c r="L135" s="261">
        <v>0</v>
      </c>
      <c r="M135" s="261">
        <f t="shared" si="57"/>
        <v>0</v>
      </c>
      <c r="N135" s="261">
        <v>0</v>
      </c>
      <c r="O135" s="261">
        <v>0</v>
      </c>
      <c r="P135" s="261">
        <f t="shared" si="48"/>
        <v>0</v>
      </c>
      <c r="Q135" s="177">
        <f t="shared" si="49"/>
        <v>2000000</v>
      </c>
      <c r="R135" s="261">
        <f t="shared" si="50"/>
        <v>0</v>
      </c>
      <c r="T135" s="183" t="s">
        <v>229</v>
      </c>
      <c r="U135" s="259" t="s">
        <v>230</v>
      </c>
      <c r="V135" s="261">
        <v>2000000</v>
      </c>
      <c r="W135" s="261">
        <v>0</v>
      </c>
      <c r="X135" s="261">
        <v>0</v>
      </c>
      <c r="Y135" s="261">
        <v>0</v>
      </c>
      <c r="Z135" s="261">
        <v>2000000</v>
      </c>
      <c r="AA135" s="261">
        <v>0</v>
      </c>
      <c r="AB135" s="261">
        <v>0</v>
      </c>
      <c r="AC135" s="261">
        <v>2000000</v>
      </c>
      <c r="AD135" s="261">
        <v>0</v>
      </c>
      <c r="AE135" s="261">
        <v>0</v>
      </c>
      <c r="AF135" s="261">
        <v>0</v>
      </c>
      <c r="AG135" s="261">
        <v>0</v>
      </c>
      <c r="AH135" s="261">
        <v>0</v>
      </c>
      <c r="AI135" s="261">
        <v>0</v>
      </c>
      <c r="AJ135" s="261">
        <v>2000000</v>
      </c>
      <c r="AK135" s="261">
        <v>0</v>
      </c>
      <c r="AL135" s="261">
        <v>0</v>
      </c>
      <c r="AM135" s="261">
        <v>0</v>
      </c>
      <c r="AN135" s="261">
        <v>0</v>
      </c>
      <c r="AO135" s="261">
        <v>0</v>
      </c>
      <c r="AP135" s="261">
        <v>2000000</v>
      </c>
      <c r="AQ135" s="261"/>
      <c r="AS135" s="261"/>
    </row>
    <row r="136" spans="1:45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 t="shared" ref="D136:R136" si="78">+D137</f>
        <v>0</v>
      </c>
      <c r="E136" s="9">
        <f t="shared" si="78"/>
        <v>0</v>
      </c>
      <c r="F136" s="9">
        <f t="shared" si="78"/>
        <v>0</v>
      </c>
      <c r="G136" s="9">
        <f t="shared" si="78"/>
        <v>9600000</v>
      </c>
      <c r="H136" s="9">
        <f t="shared" si="78"/>
        <v>547160</v>
      </c>
      <c r="I136" s="9">
        <f t="shared" si="78"/>
        <v>2907108</v>
      </c>
      <c r="J136" s="9">
        <f t="shared" si="47"/>
        <v>6692892</v>
      </c>
      <c r="K136" s="9">
        <f t="shared" si="78"/>
        <v>547160</v>
      </c>
      <c r="L136" s="9">
        <f t="shared" si="78"/>
        <v>9907108</v>
      </c>
      <c r="M136" s="9">
        <f t="shared" si="78"/>
        <v>-7000000</v>
      </c>
      <c r="N136" s="9">
        <f t="shared" si="78"/>
        <v>0</v>
      </c>
      <c r="O136" s="9">
        <f t="shared" si="78"/>
        <v>7000000</v>
      </c>
      <c r="P136" s="9">
        <f t="shared" si="78"/>
        <v>4092892</v>
      </c>
      <c r="Q136" s="9">
        <f t="shared" si="49"/>
        <v>2600000</v>
      </c>
      <c r="R136" s="9">
        <f t="shared" si="78"/>
        <v>9907108</v>
      </c>
      <c r="T136" s="183" t="s">
        <v>231</v>
      </c>
      <c r="U136" s="259" t="s">
        <v>232</v>
      </c>
      <c r="V136" s="261">
        <v>9600000</v>
      </c>
      <c r="W136" s="261">
        <v>0</v>
      </c>
      <c r="X136" s="261">
        <v>0</v>
      </c>
      <c r="Y136" s="261">
        <v>0</v>
      </c>
      <c r="Z136" s="261">
        <v>9600000</v>
      </c>
      <c r="AA136" s="261">
        <v>547160</v>
      </c>
      <c r="AB136" s="261">
        <v>2907108</v>
      </c>
      <c r="AC136" s="261">
        <v>6692892</v>
      </c>
      <c r="AD136" s="261">
        <v>547160</v>
      </c>
      <c r="AE136" s="261">
        <v>9907108</v>
      </c>
      <c r="AF136" s="261">
        <v>0</v>
      </c>
      <c r="AG136" s="261">
        <v>0</v>
      </c>
      <c r="AH136" s="261">
        <v>7000000</v>
      </c>
      <c r="AI136" s="261">
        <v>4092892</v>
      </c>
      <c r="AJ136" s="261">
        <v>2600000</v>
      </c>
      <c r="AK136" s="261">
        <v>0</v>
      </c>
      <c r="AL136" s="261">
        <v>0</v>
      </c>
      <c r="AM136" s="261">
        <v>7000000</v>
      </c>
      <c r="AN136" s="261">
        <v>7000000</v>
      </c>
      <c r="AO136" s="261">
        <v>4640052</v>
      </c>
      <c r="AP136" s="261">
        <v>2600000</v>
      </c>
      <c r="AQ136" s="9"/>
      <c r="AS136" s="9"/>
    </row>
    <row r="137" spans="1:45" x14ac:dyDescent="0.25">
      <c r="A137" s="2" t="s">
        <v>233</v>
      </c>
      <c r="B137" s="259" t="s">
        <v>234</v>
      </c>
      <c r="C137" s="261">
        <v>9600000</v>
      </c>
      <c r="D137" s="261">
        <v>0</v>
      </c>
      <c r="E137" s="261">
        <v>0</v>
      </c>
      <c r="F137" s="261">
        <v>0</v>
      </c>
      <c r="G137" s="261">
        <f>+C137+D137-E137+F137</f>
        <v>9600000</v>
      </c>
      <c r="H137" s="261">
        <v>547160</v>
      </c>
      <c r="I137" s="261">
        <v>2907108</v>
      </c>
      <c r="J137" s="261">
        <f t="shared" ref="J137:J200" si="79">+G137-I137</f>
        <v>6692892</v>
      </c>
      <c r="K137" s="261">
        <v>547160</v>
      </c>
      <c r="L137" s="261">
        <v>9907108</v>
      </c>
      <c r="M137" s="261">
        <f t="shared" si="57"/>
        <v>-7000000</v>
      </c>
      <c r="N137" s="261">
        <v>0</v>
      </c>
      <c r="O137" s="261">
        <v>7000000</v>
      </c>
      <c r="P137" s="261">
        <f t="shared" ref="P137:P200" si="80">+O137-I137</f>
        <v>4092892</v>
      </c>
      <c r="Q137" s="177">
        <f t="shared" ref="Q137:Q200" si="81">+G137-O137</f>
        <v>2600000</v>
      </c>
      <c r="R137" s="261">
        <f t="shared" ref="R137:R200" si="82">+L137</f>
        <v>9907108</v>
      </c>
      <c r="T137" s="183" t="s">
        <v>233</v>
      </c>
      <c r="U137" s="259" t="s">
        <v>234</v>
      </c>
      <c r="V137" s="261">
        <v>9600000</v>
      </c>
      <c r="W137" s="261">
        <v>0</v>
      </c>
      <c r="X137" s="261">
        <v>0</v>
      </c>
      <c r="Y137" s="261">
        <v>0</v>
      </c>
      <c r="Z137" s="261">
        <v>9600000</v>
      </c>
      <c r="AA137" s="261">
        <v>547160</v>
      </c>
      <c r="AB137" s="261">
        <v>2907108</v>
      </c>
      <c r="AC137" s="261">
        <v>6692892</v>
      </c>
      <c r="AD137" s="261">
        <v>547160</v>
      </c>
      <c r="AE137" s="261">
        <v>9907108</v>
      </c>
      <c r="AF137" s="261">
        <v>0</v>
      </c>
      <c r="AG137" s="261">
        <v>0</v>
      </c>
      <c r="AH137" s="261">
        <v>7000000</v>
      </c>
      <c r="AI137" s="261">
        <v>4092892</v>
      </c>
      <c r="AJ137" s="261">
        <v>2600000</v>
      </c>
      <c r="AK137" s="261">
        <v>0</v>
      </c>
      <c r="AL137" s="261">
        <v>0</v>
      </c>
      <c r="AM137" s="261">
        <v>7000000</v>
      </c>
      <c r="AN137" s="261">
        <v>7000000</v>
      </c>
      <c r="AO137" s="261">
        <v>4640052</v>
      </c>
      <c r="AP137" s="261">
        <v>2600000</v>
      </c>
      <c r="AQ137" s="261"/>
      <c r="AS137" s="261"/>
    </row>
    <row r="138" spans="1:45" x14ac:dyDescent="0.25">
      <c r="A138" s="2" t="s">
        <v>235</v>
      </c>
      <c r="B138" s="259" t="s">
        <v>236</v>
      </c>
      <c r="C138" s="261">
        <v>22000000</v>
      </c>
      <c r="D138" s="261">
        <v>0</v>
      </c>
      <c r="E138" s="261">
        <v>0</v>
      </c>
      <c r="F138" s="261">
        <v>0</v>
      </c>
      <c r="G138" s="261">
        <f>+C138+D138-E138+F138</f>
        <v>22000000</v>
      </c>
      <c r="H138" s="261">
        <v>2960423</v>
      </c>
      <c r="I138" s="261">
        <v>9040755</v>
      </c>
      <c r="J138" s="261">
        <f t="shared" si="79"/>
        <v>12959245</v>
      </c>
      <c r="K138" s="261">
        <v>2960423</v>
      </c>
      <c r="L138" s="261">
        <v>9040755</v>
      </c>
      <c r="M138" s="261">
        <f t="shared" si="57"/>
        <v>0</v>
      </c>
      <c r="N138" s="261">
        <v>0</v>
      </c>
      <c r="O138" s="261">
        <v>22000000</v>
      </c>
      <c r="P138" s="261">
        <f t="shared" si="80"/>
        <v>12959245</v>
      </c>
      <c r="Q138" s="177">
        <f t="shared" si="81"/>
        <v>0</v>
      </c>
      <c r="R138" s="261">
        <f t="shared" si="82"/>
        <v>9040755</v>
      </c>
      <c r="T138" s="183" t="s">
        <v>235</v>
      </c>
      <c r="U138" s="259" t="s">
        <v>236</v>
      </c>
      <c r="V138" s="261">
        <v>22000000</v>
      </c>
      <c r="W138" s="261">
        <v>0</v>
      </c>
      <c r="X138" s="261">
        <v>0</v>
      </c>
      <c r="Y138" s="261">
        <v>0</v>
      </c>
      <c r="Z138" s="261">
        <v>22000000</v>
      </c>
      <c r="AA138" s="261">
        <v>2960423</v>
      </c>
      <c r="AB138" s="261">
        <v>9040755</v>
      </c>
      <c r="AC138" s="261">
        <v>12959245</v>
      </c>
      <c r="AD138" s="261">
        <v>2960423</v>
      </c>
      <c r="AE138" s="261">
        <v>9040755</v>
      </c>
      <c r="AF138" s="261">
        <v>0</v>
      </c>
      <c r="AG138" s="261">
        <v>0</v>
      </c>
      <c r="AH138" s="261">
        <v>22000000</v>
      </c>
      <c r="AI138" s="261">
        <v>12959245</v>
      </c>
      <c r="AJ138" s="261">
        <v>0</v>
      </c>
      <c r="AK138" s="261">
        <v>0</v>
      </c>
      <c r="AL138" s="261">
        <v>0</v>
      </c>
      <c r="AM138" s="261">
        <v>22000000</v>
      </c>
      <c r="AN138" s="261">
        <v>22000000</v>
      </c>
      <c r="AO138" s="261">
        <v>12959245</v>
      </c>
      <c r="AP138" s="261">
        <v>0</v>
      </c>
      <c r="AQ138" s="261"/>
      <c r="AS138" s="261"/>
    </row>
    <row r="139" spans="1:45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 t="shared" ref="D139:R139" si="83">+D140+D142+D147+D151+D152</f>
        <v>6000000</v>
      </c>
      <c r="E139" s="9">
        <f t="shared" si="83"/>
        <v>0</v>
      </c>
      <c r="F139" s="9">
        <f t="shared" si="83"/>
        <v>0</v>
      </c>
      <c r="G139" s="9">
        <f t="shared" si="83"/>
        <v>572169400</v>
      </c>
      <c r="H139" s="9">
        <f t="shared" si="83"/>
        <v>340079550</v>
      </c>
      <c r="I139" s="9">
        <f t="shared" si="83"/>
        <v>491479649</v>
      </c>
      <c r="J139" s="9">
        <f t="shared" si="79"/>
        <v>80689751</v>
      </c>
      <c r="K139" s="9">
        <f t="shared" si="83"/>
        <v>24894265.699999999</v>
      </c>
      <c r="L139" s="9">
        <f t="shared" si="83"/>
        <v>120057605.7</v>
      </c>
      <c r="M139" s="9">
        <f t="shared" si="83"/>
        <v>371422043.30000001</v>
      </c>
      <c r="N139" s="9">
        <f t="shared" si="83"/>
        <v>1458069</v>
      </c>
      <c r="O139" s="9">
        <f t="shared" si="83"/>
        <v>505549568</v>
      </c>
      <c r="P139" s="9">
        <f t="shared" si="83"/>
        <v>14069919</v>
      </c>
      <c r="Q139" s="9">
        <f t="shared" si="81"/>
        <v>66619832</v>
      </c>
      <c r="R139" s="9">
        <f t="shared" si="83"/>
        <v>120057605.7</v>
      </c>
      <c r="T139" s="183" t="s">
        <v>237</v>
      </c>
      <c r="U139" s="259" t="s">
        <v>238</v>
      </c>
      <c r="V139" s="261">
        <v>566169400</v>
      </c>
      <c r="W139" s="261">
        <v>6000000</v>
      </c>
      <c r="X139" s="261">
        <v>0</v>
      </c>
      <c r="Y139" s="261">
        <v>0</v>
      </c>
      <c r="Z139" s="261">
        <v>572169400</v>
      </c>
      <c r="AA139" s="261">
        <v>340079550</v>
      </c>
      <c r="AB139" s="261">
        <v>491479649</v>
      </c>
      <c r="AC139" s="261">
        <v>80689751</v>
      </c>
      <c r="AD139" s="261">
        <v>24894265.699999999</v>
      </c>
      <c r="AE139" s="261">
        <v>120057605.7</v>
      </c>
      <c r="AF139" s="261">
        <v>371422043.30000001</v>
      </c>
      <c r="AG139" s="261">
        <v>1458069</v>
      </c>
      <c r="AH139" s="261">
        <v>505549568</v>
      </c>
      <c r="AI139" s="261">
        <v>14069919</v>
      </c>
      <c r="AJ139" s="261">
        <v>66619832</v>
      </c>
      <c r="AK139" s="261">
        <v>3600000</v>
      </c>
      <c r="AL139" s="261">
        <v>653919</v>
      </c>
      <c r="AM139" s="261">
        <v>508345418</v>
      </c>
      <c r="AN139" s="261">
        <v>504745418</v>
      </c>
      <c r="AO139" s="261">
        <v>353345319</v>
      </c>
      <c r="AP139" s="261">
        <v>67423982</v>
      </c>
      <c r="AQ139" s="9"/>
      <c r="AS139" s="9"/>
    </row>
    <row r="140" spans="1:45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 t="shared" ref="D140:R140" si="84">+D141</f>
        <v>0</v>
      </c>
      <c r="E140" s="9">
        <f t="shared" si="84"/>
        <v>0</v>
      </c>
      <c r="F140" s="9">
        <f t="shared" si="84"/>
        <v>0</v>
      </c>
      <c r="G140" s="9">
        <f t="shared" si="84"/>
        <v>500000</v>
      </c>
      <c r="H140" s="9">
        <f t="shared" si="84"/>
        <v>0</v>
      </c>
      <c r="I140" s="9">
        <f t="shared" si="84"/>
        <v>0</v>
      </c>
      <c r="J140" s="9">
        <f t="shared" si="79"/>
        <v>500000</v>
      </c>
      <c r="K140" s="9">
        <f t="shared" si="84"/>
        <v>0</v>
      </c>
      <c r="L140" s="9">
        <f t="shared" si="84"/>
        <v>0</v>
      </c>
      <c r="M140" s="9">
        <f t="shared" si="84"/>
        <v>0</v>
      </c>
      <c r="N140" s="9">
        <f t="shared" si="84"/>
        <v>0</v>
      </c>
      <c r="O140" s="9">
        <f t="shared" si="84"/>
        <v>0</v>
      </c>
      <c r="P140" s="9">
        <f t="shared" si="84"/>
        <v>0</v>
      </c>
      <c r="Q140" s="9">
        <f t="shared" si="81"/>
        <v>500000</v>
      </c>
      <c r="R140" s="9">
        <f t="shared" si="84"/>
        <v>0</v>
      </c>
      <c r="T140" s="183" t="s">
        <v>239</v>
      </c>
      <c r="U140" s="259" t="s">
        <v>240</v>
      </c>
      <c r="V140" s="261">
        <v>500000</v>
      </c>
      <c r="W140" s="261">
        <v>0</v>
      </c>
      <c r="X140" s="261">
        <v>0</v>
      </c>
      <c r="Y140" s="261">
        <v>0</v>
      </c>
      <c r="Z140" s="261">
        <v>500000</v>
      </c>
      <c r="AA140" s="261">
        <v>0</v>
      </c>
      <c r="AB140" s="261">
        <v>0</v>
      </c>
      <c r="AC140" s="261">
        <v>500000</v>
      </c>
      <c r="AD140" s="261">
        <v>0</v>
      </c>
      <c r="AE140" s="261">
        <v>0</v>
      </c>
      <c r="AF140" s="261">
        <v>0</v>
      </c>
      <c r="AG140" s="261">
        <v>0</v>
      </c>
      <c r="AH140" s="261">
        <v>0</v>
      </c>
      <c r="AI140" s="261">
        <v>0</v>
      </c>
      <c r="AJ140" s="261">
        <v>500000</v>
      </c>
      <c r="AK140" s="261">
        <v>0</v>
      </c>
      <c r="AL140" s="261">
        <v>0</v>
      </c>
      <c r="AM140" s="261">
        <v>0</v>
      </c>
      <c r="AN140" s="261">
        <v>0</v>
      </c>
      <c r="AO140" s="261">
        <v>0</v>
      </c>
      <c r="AP140" s="261">
        <v>500000</v>
      </c>
      <c r="AQ140" s="9"/>
      <c r="AS140" s="9"/>
    </row>
    <row r="141" spans="1:45" x14ac:dyDescent="0.25">
      <c r="A141" s="2" t="s">
        <v>241</v>
      </c>
      <c r="B141" s="259" t="s">
        <v>242</v>
      </c>
      <c r="C141" s="261">
        <v>500000</v>
      </c>
      <c r="D141" s="261">
        <v>0</v>
      </c>
      <c r="E141" s="261">
        <v>0</v>
      </c>
      <c r="F141" s="261">
        <v>0</v>
      </c>
      <c r="G141" s="261">
        <f>+C141+D141-E141+F141</f>
        <v>500000</v>
      </c>
      <c r="H141" s="261">
        <v>0</v>
      </c>
      <c r="I141" s="261">
        <v>0</v>
      </c>
      <c r="J141" s="261">
        <f t="shared" si="79"/>
        <v>500000</v>
      </c>
      <c r="K141" s="261">
        <v>0</v>
      </c>
      <c r="L141" s="261">
        <v>0</v>
      </c>
      <c r="M141" s="261">
        <f t="shared" si="57"/>
        <v>0</v>
      </c>
      <c r="N141" s="261">
        <v>0</v>
      </c>
      <c r="O141" s="261">
        <v>0</v>
      </c>
      <c r="P141" s="261">
        <f t="shared" si="80"/>
        <v>0</v>
      </c>
      <c r="Q141" s="177">
        <f t="shared" si="81"/>
        <v>500000</v>
      </c>
      <c r="R141" s="261">
        <f t="shared" si="82"/>
        <v>0</v>
      </c>
      <c r="T141" s="183" t="s">
        <v>241</v>
      </c>
      <c r="U141" s="259" t="s">
        <v>242</v>
      </c>
      <c r="V141" s="261">
        <v>500000</v>
      </c>
      <c r="W141" s="261">
        <v>0</v>
      </c>
      <c r="X141" s="261">
        <v>0</v>
      </c>
      <c r="Y141" s="261">
        <v>0</v>
      </c>
      <c r="Z141" s="261">
        <v>500000</v>
      </c>
      <c r="AA141" s="261">
        <v>0</v>
      </c>
      <c r="AB141" s="261">
        <v>0</v>
      </c>
      <c r="AC141" s="261">
        <v>500000</v>
      </c>
      <c r="AD141" s="261">
        <v>0</v>
      </c>
      <c r="AE141" s="261">
        <v>0</v>
      </c>
      <c r="AF141" s="261">
        <v>0</v>
      </c>
      <c r="AG141" s="261">
        <v>0</v>
      </c>
      <c r="AH141" s="261">
        <v>0</v>
      </c>
      <c r="AI141" s="261">
        <v>0</v>
      </c>
      <c r="AJ141" s="261">
        <v>500000</v>
      </c>
      <c r="AK141" s="261">
        <v>0</v>
      </c>
      <c r="AL141" s="261">
        <v>0</v>
      </c>
      <c r="AM141" s="261">
        <v>0</v>
      </c>
      <c r="AN141" s="261">
        <v>0</v>
      </c>
      <c r="AO141" s="261">
        <v>0</v>
      </c>
      <c r="AP141" s="261">
        <v>500000</v>
      </c>
      <c r="AQ141" s="261"/>
      <c r="AS141" s="261"/>
    </row>
    <row r="142" spans="1:45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 t="shared" ref="D142:R142" si="85">SUM(D143:D146)</f>
        <v>6000000</v>
      </c>
      <c r="E142" s="9">
        <f t="shared" si="85"/>
        <v>0</v>
      </c>
      <c r="F142" s="9">
        <f t="shared" si="85"/>
        <v>0</v>
      </c>
      <c r="G142" s="9">
        <f t="shared" si="85"/>
        <v>225500000</v>
      </c>
      <c r="H142" s="9">
        <f t="shared" si="85"/>
        <v>804150</v>
      </c>
      <c r="I142" s="9">
        <f t="shared" si="85"/>
        <v>152204249</v>
      </c>
      <c r="J142" s="9">
        <f t="shared" si="79"/>
        <v>73295751</v>
      </c>
      <c r="K142" s="9">
        <f t="shared" si="85"/>
        <v>24894265.699999999</v>
      </c>
      <c r="L142" s="9">
        <f t="shared" si="85"/>
        <v>120057605.7</v>
      </c>
      <c r="M142" s="9">
        <f t="shared" si="85"/>
        <v>32146643.299999997</v>
      </c>
      <c r="N142" s="9">
        <f t="shared" si="85"/>
        <v>1458069</v>
      </c>
      <c r="O142" s="9">
        <f t="shared" si="85"/>
        <v>162280168</v>
      </c>
      <c r="P142" s="9">
        <f t="shared" si="85"/>
        <v>10075919</v>
      </c>
      <c r="Q142" s="9">
        <f t="shared" si="81"/>
        <v>63219832</v>
      </c>
      <c r="R142" s="9">
        <f t="shared" si="85"/>
        <v>120057605.7</v>
      </c>
      <c r="T142" s="183" t="s">
        <v>243</v>
      </c>
      <c r="U142" s="259" t="s">
        <v>244</v>
      </c>
      <c r="V142" s="261">
        <v>219500000</v>
      </c>
      <c r="W142" s="261">
        <v>6000000</v>
      </c>
      <c r="X142" s="261">
        <v>0</v>
      </c>
      <c r="Y142" s="261">
        <v>0</v>
      </c>
      <c r="Z142" s="261">
        <v>225500000</v>
      </c>
      <c r="AA142" s="261">
        <v>804150</v>
      </c>
      <c r="AB142" s="261">
        <v>152204249</v>
      </c>
      <c r="AC142" s="261">
        <v>73295751</v>
      </c>
      <c r="AD142" s="261">
        <v>24894265.699999999</v>
      </c>
      <c r="AE142" s="261">
        <v>120057605.7</v>
      </c>
      <c r="AF142" s="261">
        <v>32146643.299999997</v>
      </c>
      <c r="AG142" s="261">
        <v>1458069</v>
      </c>
      <c r="AH142" s="261">
        <v>162280168</v>
      </c>
      <c r="AI142" s="261">
        <v>10075919</v>
      </c>
      <c r="AJ142" s="261">
        <v>63219832</v>
      </c>
      <c r="AK142" s="261">
        <v>3600000</v>
      </c>
      <c r="AL142" s="261">
        <v>653919</v>
      </c>
      <c r="AM142" s="261">
        <v>165076018</v>
      </c>
      <c r="AN142" s="261">
        <v>161476018</v>
      </c>
      <c r="AO142" s="261">
        <v>10075919</v>
      </c>
      <c r="AP142" s="261">
        <v>64023982</v>
      </c>
      <c r="AQ142" s="9"/>
      <c r="AS142" s="9"/>
    </row>
    <row r="143" spans="1:45" x14ac:dyDescent="0.25">
      <c r="A143" s="2" t="s">
        <v>245</v>
      </c>
      <c r="B143" s="259" t="s">
        <v>246</v>
      </c>
      <c r="C143" s="261">
        <v>109400000</v>
      </c>
      <c r="D143" s="261">
        <v>0</v>
      </c>
      <c r="E143" s="261">
        <v>0</v>
      </c>
      <c r="F143" s="261">
        <v>0</v>
      </c>
      <c r="G143" s="261">
        <f>+C143+D143-E143+F143</f>
        <v>109400000</v>
      </c>
      <c r="H143" s="261">
        <v>0</v>
      </c>
      <c r="I143" s="261">
        <v>100000000</v>
      </c>
      <c r="J143" s="261">
        <f t="shared" si="79"/>
        <v>9400000</v>
      </c>
      <c r="K143" s="261">
        <v>18353825.699999999</v>
      </c>
      <c r="L143" s="261">
        <v>82389136.700000003</v>
      </c>
      <c r="M143" s="261">
        <f t="shared" si="57"/>
        <v>17610863.299999997</v>
      </c>
      <c r="N143" s="261">
        <v>0</v>
      </c>
      <c r="O143" s="261">
        <v>109400000</v>
      </c>
      <c r="P143" s="261">
        <f t="shared" si="80"/>
        <v>9400000</v>
      </c>
      <c r="Q143" s="177">
        <f t="shared" si="81"/>
        <v>0</v>
      </c>
      <c r="R143" s="261">
        <f t="shared" si="82"/>
        <v>82389136.700000003</v>
      </c>
      <c r="T143" s="183" t="s">
        <v>245</v>
      </c>
      <c r="U143" s="259" t="s">
        <v>246</v>
      </c>
      <c r="V143" s="261">
        <v>109400000</v>
      </c>
      <c r="W143" s="261">
        <v>0</v>
      </c>
      <c r="X143" s="261">
        <v>0</v>
      </c>
      <c r="Y143" s="261">
        <v>0</v>
      </c>
      <c r="Z143" s="261">
        <v>109400000</v>
      </c>
      <c r="AA143" s="261">
        <v>0</v>
      </c>
      <c r="AB143" s="261">
        <v>100000000</v>
      </c>
      <c r="AC143" s="261">
        <v>9400000</v>
      </c>
      <c r="AD143" s="261">
        <v>18353825.699999999</v>
      </c>
      <c r="AE143" s="261">
        <v>82389136.700000003</v>
      </c>
      <c r="AF143" s="261">
        <v>17610863.299999997</v>
      </c>
      <c r="AG143" s="261">
        <v>0</v>
      </c>
      <c r="AH143" s="261">
        <v>109400000</v>
      </c>
      <c r="AI143" s="261">
        <v>9400000</v>
      </c>
      <c r="AJ143" s="261">
        <v>0</v>
      </c>
      <c r="AK143" s="261">
        <v>0</v>
      </c>
      <c r="AL143" s="261">
        <v>0</v>
      </c>
      <c r="AM143" s="261">
        <v>109400000</v>
      </c>
      <c r="AN143" s="261">
        <v>109400000</v>
      </c>
      <c r="AO143" s="261">
        <v>9400000</v>
      </c>
      <c r="AP143" s="261">
        <v>0</v>
      </c>
      <c r="AQ143" s="261"/>
      <c r="AS143" s="261"/>
    </row>
    <row r="144" spans="1:45" x14ac:dyDescent="0.25">
      <c r="A144" s="2" t="s">
        <v>247</v>
      </c>
      <c r="B144" s="259" t="s">
        <v>248</v>
      </c>
      <c r="C144" s="261">
        <v>400000</v>
      </c>
      <c r="D144" s="261">
        <v>0</v>
      </c>
      <c r="E144" s="261">
        <v>0</v>
      </c>
      <c r="F144" s="261">
        <v>0</v>
      </c>
      <c r="G144" s="261">
        <f>+C144+D144-E144+F144</f>
        <v>400000</v>
      </c>
      <c r="H144" s="261">
        <v>0</v>
      </c>
      <c r="I144" s="261">
        <v>246081</v>
      </c>
      <c r="J144" s="261">
        <f t="shared" si="79"/>
        <v>153919</v>
      </c>
      <c r="K144" s="261">
        <v>0</v>
      </c>
      <c r="L144" s="261">
        <v>46081</v>
      </c>
      <c r="M144" s="261">
        <f t="shared" si="57"/>
        <v>200000</v>
      </c>
      <c r="N144" s="261">
        <v>153919</v>
      </c>
      <c r="O144" s="261">
        <v>400000</v>
      </c>
      <c r="P144" s="261">
        <f t="shared" si="80"/>
        <v>153919</v>
      </c>
      <c r="Q144" s="177">
        <f t="shared" si="81"/>
        <v>0</v>
      </c>
      <c r="R144" s="261">
        <f t="shared" si="82"/>
        <v>46081</v>
      </c>
      <c r="T144" s="183" t="s">
        <v>247</v>
      </c>
      <c r="U144" s="259" t="s">
        <v>248</v>
      </c>
      <c r="V144" s="261">
        <v>400000</v>
      </c>
      <c r="W144" s="261">
        <v>0</v>
      </c>
      <c r="X144" s="261">
        <v>0</v>
      </c>
      <c r="Y144" s="261">
        <v>0</v>
      </c>
      <c r="Z144" s="261">
        <v>400000</v>
      </c>
      <c r="AA144" s="261">
        <v>0</v>
      </c>
      <c r="AB144" s="261">
        <v>246081</v>
      </c>
      <c r="AC144" s="261">
        <v>153919</v>
      </c>
      <c r="AD144" s="261">
        <v>0</v>
      </c>
      <c r="AE144" s="261">
        <v>46081</v>
      </c>
      <c r="AF144" s="261">
        <v>200000</v>
      </c>
      <c r="AG144" s="261">
        <v>153919</v>
      </c>
      <c r="AH144" s="261">
        <v>400000</v>
      </c>
      <c r="AI144" s="261">
        <v>153919</v>
      </c>
      <c r="AJ144" s="261">
        <v>0</v>
      </c>
      <c r="AK144" s="261">
        <v>0</v>
      </c>
      <c r="AL144" s="261">
        <v>153919</v>
      </c>
      <c r="AM144" s="261">
        <v>400000</v>
      </c>
      <c r="AN144" s="261">
        <v>400000</v>
      </c>
      <c r="AO144" s="261">
        <v>153919</v>
      </c>
      <c r="AP144" s="261">
        <v>0</v>
      </c>
      <c r="AQ144" s="261"/>
      <c r="AS144" s="261"/>
    </row>
    <row r="145" spans="1:45" x14ac:dyDescent="0.25">
      <c r="A145" s="2" t="s">
        <v>249</v>
      </c>
      <c r="B145" s="259" t="s">
        <v>250</v>
      </c>
      <c r="C145" s="261">
        <v>400000</v>
      </c>
      <c r="D145" s="261">
        <v>0</v>
      </c>
      <c r="E145" s="261">
        <v>0</v>
      </c>
      <c r="F145" s="261">
        <v>0</v>
      </c>
      <c r="G145" s="261">
        <f>+C145+D145-E145+F145</f>
        <v>400000</v>
      </c>
      <c r="H145" s="261">
        <v>0</v>
      </c>
      <c r="I145" s="261">
        <v>389347</v>
      </c>
      <c r="J145" s="261">
        <f t="shared" si="79"/>
        <v>10653</v>
      </c>
      <c r="K145" s="261">
        <v>0</v>
      </c>
      <c r="L145" s="261">
        <v>89347</v>
      </c>
      <c r="M145" s="261">
        <f t="shared" ref="M145:M201" si="86">+I145-L145</f>
        <v>300000</v>
      </c>
      <c r="N145" s="261">
        <v>0</v>
      </c>
      <c r="O145" s="261">
        <v>389347</v>
      </c>
      <c r="P145" s="261">
        <f t="shared" si="80"/>
        <v>0</v>
      </c>
      <c r="Q145" s="177">
        <f t="shared" si="81"/>
        <v>10653</v>
      </c>
      <c r="R145" s="261">
        <f t="shared" si="82"/>
        <v>89347</v>
      </c>
      <c r="T145" s="183" t="s">
        <v>249</v>
      </c>
      <c r="U145" s="259" t="s">
        <v>250</v>
      </c>
      <c r="V145" s="261">
        <v>400000</v>
      </c>
      <c r="W145" s="261">
        <v>0</v>
      </c>
      <c r="X145" s="261">
        <v>0</v>
      </c>
      <c r="Y145" s="261">
        <v>0</v>
      </c>
      <c r="Z145" s="261">
        <v>400000</v>
      </c>
      <c r="AA145" s="261">
        <v>0</v>
      </c>
      <c r="AB145" s="261">
        <v>389347</v>
      </c>
      <c r="AC145" s="261">
        <v>10653</v>
      </c>
      <c r="AD145" s="261">
        <v>0</v>
      </c>
      <c r="AE145" s="261">
        <v>89347</v>
      </c>
      <c r="AF145" s="261">
        <v>300000</v>
      </c>
      <c r="AG145" s="261">
        <v>0</v>
      </c>
      <c r="AH145" s="261">
        <v>389347</v>
      </c>
      <c r="AI145" s="261">
        <v>0</v>
      </c>
      <c r="AJ145" s="261">
        <v>10653</v>
      </c>
      <c r="AK145" s="261">
        <v>0</v>
      </c>
      <c r="AL145" s="261">
        <v>0</v>
      </c>
      <c r="AM145" s="261">
        <v>389347</v>
      </c>
      <c r="AN145" s="261">
        <v>389347</v>
      </c>
      <c r="AO145" s="261">
        <v>0</v>
      </c>
      <c r="AP145" s="261">
        <v>10653</v>
      </c>
      <c r="AQ145" s="261"/>
      <c r="AS145" s="261"/>
    </row>
    <row r="146" spans="1:45" x14ac:dyDescent="0.25">
      <c r="A146" s="2" t="s">
        <v>251</v>
      </c>
      <c r="B146" s="259" t="s">
        <v>252</v>
      </c>
      <c r="C146" s="261">
        <v>109300000</v>
      </c>
      <c r="D146" s="261">
        <v>6000000</v>
      </c>
      <c r="E146" s="261">
        <v>0</v>
      </c>
      <c r="F146" s="261">
        <v>0</v>
      </c>
      <c r="G146" s="261">
        <f>+C146+D146-E146+F146</f>
        <v>115300000</v>
      </c>
      <c r="H146" s="261">
        <v>804150</v>
      </c>
      <c r="I146" s="261">
        <v>51568821</v>
      </c>
      <c r="J146" s="261">
        <f t="shared" si="79"/>
        <v>63731179</v>
      </c>
      <c r="K146" s="261">
        <v>6540440</v>
      </c>
      <c r="L146" s="261">
        <v>37533041</v>
      </c>
      <c r="M146" s="261">
        <f t="shared" si="86"/>
        <v>14035780</v>
      </c>
      <c r="N146" s="261">
        <v>1304150</v>
      </c>
      <c r="O146" s="261">
        <v>52090821</v>
      </c>
      <c r="P146" s="261">
        <f t="shared" si="80"/>
        <v>522000</v>
      </c>
      <c r="Q146" s="177">
        <f t="shared" si="81"/>
        <v>63209179</v>
      </c>
      <c r="R146" s="261">
        <f t="shared" si="82"/>
        <v>37533041</v>
      </c>
      <c r="T146" s="183" t="s">
        <v>251</v>
      </c>
      <c r="U146" s="259" t="s">
        <v>252</v>
      </c>
      <c r="V146" s="261">
        <v>109300000</v>
      </c>
      <c r="W146" s="261">
        <v>6000000</v>
      </c>
      <c r="X146" s="261">
        <v>0</v>
      </c>
      <c r="Y146" s="261">
        <v>0</v>
      </c>
      <c r="Z146" s="261">
        <v>115300000</v>
      </c>
      <c r="AA146" s="261">
        <v>804150</v>
      </c>
      <c r="AB146" s="261">
        <v>51568821</v>
      </c>
      <c r="AC146" s="261">
        <v>63731179</v>
      </c>
      <c r="AD146" s="261">
        <v>6540440</v>
      </c>
      <c r="AE146" s="261">
        <v>37533041</v>
      </c>
      <c r="AF146" s="261">
        <v>14035780</v>
      </c>
      <c r="AG146" s="261">
        <v>1304150</v>
      </c>
      <c r="AH146" s="261">
        <v>52090821</v>
      </c>
      <c r="AI146" s="261">
        <v>522000</v>
      </c>
      <c r="AJ146" s="261">
        <v>63209179</v>
      </c>
      <c r="AK146" s="261">
        <v>3600000</v>
      </c>
      <c r="AL146" s="261">
        <v>500000</v>
      </c>
      <c r="AM146" s="261">
        <v>54886671</v>
      </c>
      <c r="AN146" s="261">
        <v>51286671</v>
      </c>
      <c r="AO146" s="261">
        <v>522000</v>
      </c>
      <c r="AP146" s="261">
        <v>64013329</v>
      </c>
      <c r="AQ146" s="261"/>
      <c r="AS146" s="261"/>
    </row>
    <row r="147" spans="1:45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 t="shared" ref="D147:R147" si="87">+D148+D149+D150</f>
        <v>0</v>
      </c>
      <c r="E147" s="9">
        <f t="shared" si="87"/>
        <v>0</v>
      </c>
      <c r="F147" s="9">
        <f t="shared" si="87"/>
        <v>0</v>
      </c>
      <c r="G147" s="9">
        <f t="shared" si="87"/>
        <v>300000</v>
      </c>
      <c r="H147" s="9">
        <f t="shared" si="87"/>
        <v>0</v>
      </c>
      <c r="I147" s="9">
        <f t="shared" si="87"/>
        <v>0</v>
      </c>
      <c r="J147" s="9">
        <f t="shared" si="79"/>
        <v>300000</v>
      </c>
      <c r="K147" s="9">
        <f t="shared" si="87"/>
        <v>0</v>
      </c>
      <c r="L147" s="9">
        <f t="shared" si="87"/>
        <v>0</v>
      </c>
      <c r="M147" s="9">
        <f t="shared" si="87"/>
        <v>0</v>
      </c>
      <c r="N147" s="9">
        <f t="shared" si="87"/>
        <v>0</v>
      </c>
      <c r="O147" s="9">
        <f t="shared" si="87"/>
        <v>0</v>
      </c>
      <c r="P147" s="9">
        <f t="shared" si="87"/>
        <v>0</v>
      </c>
      <c r="Q147" s="9">
        <f t="shared" si="81"/>
        <v>300000</v>
      </c>
      <c r="R147" s="9">
        <f t="shared" si="87"/>
        <v>0</v>
      </c>
      <c r="T147" s="183" t="s">
        <v>253</v>
      </c>
      <c r="U147" s="259" t="s">
        <v>254</v>
      </c>
      <c r="V147" s="261">
        <v>300000</v>
      </c>
      <c r="W147" s="261">
        <v>0</v>
      </c>
      <c r="X147" s="261">
        <v>0</v>
      </c>
      <c r="Y147" s="261">
        <v>0</v>
      </c>
      <c r="Z147" s="261">
        <v>300000</v>
      </c>
      <c r="AA147" s="261">
        <v>0</v>
      </c>
      <c r="AB147" s="261">
        <v>0</v>
      </c>
      <c r="AC147" s="261">
        <v>300000</v>
      </c>
      <c r="AD147" s="261">
        <v>0</v>
      </c>
      <c r="AE147" s="261">
        <v>0</v>
      </c>
      <c r="AF147" s="261">
        <v>0</v>
      </c>
      <c r="AG147" s="261">
        <v>0</v>
      </c>
      <c r="AH147" s="261">
        <v>0</v>
      </c>
      <c r="AI147" s="261">
        <v>0</v>
      </c>
      <c r="AJ147" s="261">
        <v>300000</v>
      </c>
      <c r="AK147" s="261">
        <v>0</v>
      </c>
      <c r="AL147" s="261">
        <v>0</v>
      </c>
      <c r="AM147" s="261">
        <v>0</v>
      </c>
      <c r="AN147" s="261">
        <v>0</v>
      </c>
      <c r="AO147" s="261">
        <v>0</v>
      </c>
      <c r="AP147" s="261">
        <v>300000</v>
      </c>
      <c r="AQ147" s="9"/>
      <c r="AS147" s="9"/>
    </row>
    <row r="148" spans="1:45" x14ac:dyDescent="0.25">
      <c r="A148" s="2" t="s">
        <v>255</v>
      </c>
      <c r="B148" s="259" t="s">
        <v>256</v>
      </c>
      <c r="C148" s="261">
        <v>100000</v>
      </c>
      <c r="D148" s="261">
        <v>0</v>
      </c>
      <c r="E148" s="261">
        <v>0</v>
      </c>
      <c r="F148" s="261">
        <v>0</v>
      </c>
      <c r="G148" s="261">
        <f>+C148+D148-E148+F148</f>
        <v>100000</v>
      </c>
      <c r="H148" s="261">
        <v>0</v>
      </c>
      <c r="I148" s="261">
        <v>0</v>
      </c>
      <c r="J148" s="261">
        <f t="shared" si="79"/>
        <v>100000</v>
      </c>
      <c r="K148" s="261">
        <v>0</v>
      </c>
      <c r="L148" s="261">
        <v>0</v>
      </c>
      <c r="M148" s="261">
        <f t="shared" si="86"/>
        <v>0</v>
      </c>
      <c r="N148" s="261">
        <v>0</v>
      </c>
      <c r="O148" s="261">
        <v>0</v>
      </c>
      <c r="P148" s="261">
        <f t="shared" si="80"/>
        <v>0</v>
      </c>
      <c r="Q148" s="177">
        <f t="shared" si="81"/>
        <v>100000</v>
      </c>
      <c r="R148" s="261">
        <f t="shared" si="82"/>
        <v>0</v>
      </c>
      <c r="T148" s="183" t="s">
        <v>255</v>
      </c>
      <c r="U148" s="259" t="s">
        <v>256</v>
      </c>
      <c r="V148" s="261">
        <v>100000</v>
      </c>
      <c r="W148" s="261">
        <v>0</v>
      </c>
      <c r="X148" s="261">
        <v>0</v>
      </c>
      <c r="Y148" s="261">
        <v>0</v>
      </c>
      <c r="Z148" s="261">
        <v>100000</v>
      </c>
      <c r="AA148" s="261">
        <v>0</v>
      </c>
      <c r="AB148" s="261">
        <v>0</v>
      </c>
      <c r="AC148" s="261">
        <v>100000</v>
      </c>
      <c r="AD148" s="261">
        <v>0</v>
      </c>
      <c r="AE148" s="261">
        <v>0</v>
      </c>
      <c r="AF148" s="261">
        <v>0</v>
      </c>
      <c r="AG148" s="261">
        <v>0</v>
      </c>
      <c r="AH148" s="261">
        <v>0</v>
      </c>
      <c r="AI148" s="261">
        <v>0</v>
      </c>
      <c r="AJ148" s="261">
        <v>100000</v>
      </c>
      <c r="AK148" s="261">
        <v>0</v>
      </c>
      <c r="AL148" s="261">
        <v>0</v>
      </c>
      <c r="AM148" s="261">
        <v>0</v>
      </c>
      <c r="AN148" s="261">
        <v>0</v>
      </c>
      <c r="AO148" s="261">
        <v>0</v>
      </c>
      <c r="AP148" s="261">
        <v>100000</v>
      </c>
      <c r="AQ148" s="261"/>
      <c r="AS148" s="261"/>
    </row>
    <row r="149" spans="1:45" x14ac:dyDescent="0.25">
      <c r="A149" s="2" t="s">
        <v>257</v>
      </c>
      <c r="B149" s="259" t="s">
        <v>258</v>
      </c>
      <c r="C149" s="261">
        <v>100000</v>
      </c>
      <c r="D149" s="261">
        <v>0</v>
      </c>
      <c r="E149" s="261">
        <v>0</v>
      </c>
      <c r="F149" s="261">
        <v>0</v>
      </c>
      <c r="G149" s="261">
        <f>+C149+D149-E149+F149</f>
        <v>100000</v>
      </c>
      <c r="H149" s="261">
        <v>0</v>
      </c>
      <c r="I149" s="261">
        <v>0</v>
      </c>
      <c r="J149" s="261">
        <f t="shared" si="79"/>
        <v>100000</v>
      </c>
      <c r="K149" s="261">
        <v>0</v>
      </c>
      <c r="L149" s="261">
        <v>0</v>
      </c>
      <c r="M149" s="261">
        <f t="shared" si="86"/>
        <v>0</v>
      </c>
      <c r="N149" s="261">
        <v>0</v>
      </c>
      <c r="O149" s="261">
        <v>0</v>
      </c>
      <c r="P149" s="261">
        <f t="shared" si="80"/>
        <v>0</v>
      </c>
      <c r="Q149" s="177">
        <f t="shared" si="81"/>
        <v>100000</v>
      </c>
      <c r="R149" s="261">
        <f t="shared" si="82"/>
        <v>0</v>
      </c>
      <c r="T149" s="183" t="s">
        <v>257</v>
      </c>
      <c r="U149" s="259" t="s">
        <v>258</v>
      </c>
      <c r="V149" s="261">
        <v>100000</v>
      </c>
      <c r="W149" s="261">
        <v>0</v>
      </c>
      <c r="X149" s="261">
        <v>0</v>
      </c>
      <c r="Y149" s="261">
        <v>0</v>
      </c>
      <c r="Z149" s="261">
        <v>100000</v>
      </c>
      <c r="AA149" s="261">
        <v>0</v>
      </c>
      <c r="AB149" s="261">
        <v>0</v>
      </c>
      <c r="AC149" s="261">
        <v>100000</v>
      </c>
      <c r="AD149" s="261">
        <v>0</v>
      </c>
      <c r="AE149" s="261">
        <v>0</v>
      </c>
      <c r="AF149" s="261">
        <v>0</v>
      </c>
      <c r="AG149" s="261">
        <v>0</v>
      </c>
      <c r="AH149" s="261">
        <v>0</v>
      </c>
      <c r="AI149" s="261">
        <v>0</v>
      </c>
      <c r="AJ149" s="261">
        <v>100000</v>
      </c>
      <c r="AK149" s="261">
        <v>0</v>
      </c>
      <c r="AL149" s="261">
        <v>0</v>
      </c>
      <c r="AM149" s="261">
        <v>0</v>
      </c>
      <c r="AN149" s="261">
        <v>0</v>
      </c>
      <c r="AO149" s="261">
        <v>0</v>
      </c>
      <c r="AP149" s="261">
        <v>100000</v>
      </c>
      <c r="AQ149" s="261"/>
      <c r="AS149" s="261"/>
    </row>
    <row r="150" spans="1:45" x14ac:dyDescent="0.25">
      <c r="A150" s="2" t="s">
        <v>259</v>
      </c>
      <c r="B150" s="259" t="s">
        <v>260</v>
      </c>
      <c r="C150" s="261">
        <v>100000</v>
      </c>
      <c r="D150" s="261">
        <v>0</v>
      </c>
      <c r="E150" s="261">
        <v>0</v>
      </c>
      <c r="F150" s="261">
        <v>0</v>
      </c>
      <c r="G150" s="261">
        <f>+C150+D150-E150+F150</f>
        <v>100000</v>
      </c>
      <c r="H150" s="261">
        <v>0</v>
      </c>
      <c r="I150" s="261">
        <v>0</v>
      </c>
      <c r="J150" s="261">
        <f t="shared" si="79"/>
        <v>100000</v>
      </c>
      <c r="K150" s="261">
        <v>0</v>
      </c>
      <c r="L150" s="261">
        <v>0</v>
      </c>
      <c r="M150" s="261">
        <f t="shared" si="86"/>
        <v>0</v>
      </c>
      <c r="N150" s="261">
        <v>0</v>
      </c>
      <c r="O150" s="261">
        <v>0</v>
      </c>
      <c r="P150" s="261">
        <f t="shared" si="80"/>
        <v>0</v>
      </c>
      <c r="Q150" s="177">
        <f t="shared" si="81"/>
        <v>100000</v>
      </c>
      <c r="R150" s="261">
        <f t="shared" si="82"/>
        <v>0</v>
      </c>
      <c r="T150" s="183" t="s">
        <v>259</v>
      </c>
      <c r="U150" s="259" t="s">
        <v>260</v>
      </c>
      <c r="V150" s="261">
        <v>100000</v>
      </c>
      <c r="W150" s="261">
        <v>0</v>
      </c>
      <c r="X150" s="261">
        <v>0</v>
      </c>
      <c r="Y150" s="261">
        <v>0</v>
      </c>
      <c r="Z150" s="261">
        <v>100000</v>
      </c>
      <c r="AA150" s="261">
        <v>0</v>
      </c>
      <c r="AB150" s="261">
        <v>0</v>
      </c>
      <c r="AC150" s="261">
        <v>100000</v>
      </c>
      <c r="AD150" s="261">
        <v>0</v>
      </c>
      <c r="AE150" s="261">
        <v>0</v>
      </c>
      <c r="AF150" s="261">
        <v>0</v>
      </c>
      <c r="AG150" s="261">
        <v>0</v>
      </c>
      <c r="AH150" s="261">
        <v>0</v>
      </c>
      <c r="AI150" s="261">
        <v>0</v>
      </c>
      <c r="AJ150" s="261">
        <v>100000</v>
      </c>
      <c r="AK150" s="261">
        <v>0</v>
      </c>
      <c r="AL150" s="261">
        <v>0</v>
      </c>
      <c r="AM150" s="261">
        <v>0</v>
      </c>
      <c r="AN150" s="261">
        <v>0</v>
      </c>
      <c r="AO150" s="261">
        <v>0</v>
      </c>
      <c r="AP150" s="261">
        <v>100000</v>
      </c>
      <c r="AQ150" s="261"/>
      <c r="AS150" s="261"/>
    </row>
    <row r="151" spans="1:45" x14ac:dyDescent="0.25">
      <c r="A151" s="2" t="s">
        <v>261</v>
      </c>
      <c r="B151" s="259" t="s">
        <v>262</v>
      </c>
      <c r="C151" s="261">
        <v>2600000</v>
      </c>
      <c r="D151" s="261">
        <v>0</v>
      </c>
      <c r="E151" s="261">
        <v>0</v>
      </c>
      <c r="F151" s="261">
        <v>0</v>
      </c>
      <c r="G151" s="261">
        <f>+C151+D151-E151+F151</f>
        <v>2600000</v>
      </c>
      <c r="H151" s="261">
        <v>0</v>
      </c>
      <c r="I151" s="261">
        <v>0</v>
      </c>
      <c r="J151" s="261">
        <f t="shared" si="79"/>
        <v>2600000</v>
      </c>
      <c r="K151" s="261">
        <v>0</v>
      </c>
      <c r="L151" s="261">
        <v>0</v>
      </c>
      <c r="M151" s="261">
        <f t="shared" si="86"/>
        <v>0</v>
      </c>
      <c r="N151" s="261">
        <v>0</v>
      </c>
      <c r="O151" s="261">
        <v>0</v>
      </c>
      <c r="P151" s="261">
        <f t="shared" si="80"/>
        <v>0</v>
      </c>
      <c r="Q151" s="177">
        <f t="shared" si="81"/>
        <v>2600000</v>
      </c>
      <c r="R151" s="261">
        <f t="shared" si="82"/>
        <v>0</v>
      </c>
      <c r="T151" s="183" t="s">
        <v>261</v>
      </c>
      <c r="U151" s="259" t="s">
        <v>262</v>
      </c>
      <c r="V151" s="261">
        <v>2600000</v>
      </c>
      <c r="W151" s="261">
        <v>0</v>
      </c>
      <c r="X151" s="261">
        <v>0</v>
      </c>
      <c r="Y151" s="261">
        <v>0</v>
      </c>
      <c r="Z151" s="261">
        <v>2600000</v>
      </c>
      <c r="AA151" s="261">
        <v>0</v>
      </c>
      <c r="AB151" s="261">
        <v>0</v>
      </c>
      <c r="AC151" s="261">
        <v>2600000</v>
      </c>
      <c r="AD151" s="261">
        <v>0</v>
      </c>
      <c r="AE151" s="261">
        <v>0</v>
      </c>
      <c r="AF151" s="261">
        <v>0</v>
      </c>
      <c r="AG151" s="261">
        <v>0</v>
      </c>
      <c r="AH151" s="261">
        <v>0</v>
      </c>
      <c r="AI151" s="261">
        <v>0</v>
      </c>
      <c r="AJ151" s="261">
        <v>2600000</v>
      </c>
      <c r="AK151" s="261">
        <v>0</v>
      </c>
      <c r="AL151" s="261">
        <v>0</v>
      </c>
      <c r="AM151" s="261">
        <v>0</v>
      </c>
      <c r="AN151" s="261">
        <v>0</v>
      </c>
      <c r="AO151" s="261">
        <v>0</v>
      </c>
      <c r="AP151" s="261">
        <v>2600000</v>
      </c>
      <c r="AQ151" s="261"/>
      <c r="AS151" s="261"/>
    </row>
    <row r="152" spans="1:45" x14ac:dyDescent="0.25">
      <c r="A152" s="2" t="s">
        <v>263</v>
      </c>
      <c r="B152" s="259" t="s">
        <v>264</v>
      </c>
      <c r="C152" s="261">
        <v>343269400</v>
      </c>
      <c r="D152" s="261">
        <v>0</v>
      </c>
      <c r="E152" s="261">
        <v>0</v>
      </c>
      <c r="F152" s="261">
        <v>0</v>
      </c>
      <c r="G152" s="261">
        <f>+C152+D152-E152+F152</f>
        <v>343269400</v>
      </c>
      <c r="H152" s="261">
        <v>339275400</v>
      </c>
      <c r="I152" s="261">
        <v>339275400</v>
      </c>
      <c r="J152" s="261">
        <f t="shared" si="79"/>
        <v>3994000</v>
      </c>
      <c r="K152" s="261">
        <v>0</v>
      </c>
      <c r="L152" s="261">
        <v>0</v>
      </c>
      <c r="M152" s="261">
        <f t="shared" si="86"/>
        <v>339275400</v>
      </c>
      <c r="N152" s="261">
        <v>0</v>
      </c>
      <c r="O152" s="261">
        <v>343269400</v>
      </c>
      <c r="P152" s="261">
        <f t="shared" si="80"/>
        <v>3994000</v>
      </c>
      <c r="Q152" s="177">
        <f t="shared" si="81"/>
        <v>0</v>
      </c>
      <c r="R152" s="261">
        <f t="shared" si="82"/>
        <v>0</v>
      </c>
      <c r="T152" s="183" t="s">
        <v>263</v>
      </c>
      <c r="U152" s="259" t="s">
        <v>264</v>
      </c>
      <c r="V152" s="261">
        <v>343269400</v>
      </c>
      <c r="W152" s="261">
        <v>0</v>
      </c>
      <c r="X152" s="261">
        <v>0</v>
      </c>
      <c r="Y152" s="261">
        <v>0</v>
      </c>
      <c r="Z152" s="261">
        <v>343269400</v>
      </c>
      <c r="AA152" s="261">
        <v>339275400</v>
      </c>
      <c r="AB152" s="261">
        <v>339275400</v>
      </c>
      <c r="AC152" s="261">
        <v>3994000</v>
      </c>
      <c r="AD152" s="261">
        <v>0</v>
      </c>
      <c r="AE152" s="261">
        <v>0</v>
      </c>
      <c r="AF152" s="261">
        <v>339275400</v>
      </c>
      <c r="AG152" s="261">
        <v>0</v>
      </c>
      <c r="AH152" s="261">
        <v>343269400</v>
      </c>
      <c r="AI152" s="261">
        <v>3994000</v>
      </c>
      <c r="AJ152" s="261">
        <v>0</v>
      </c>
      <c r="AK152" s="261">
        <v>0</v>
      </c>
      <c r="AL152" s="261">
        <v>0</v>
      </c>
      <c r="AM152" s="261">
        <v>343269400</v>
      </c>
      <c r="AN152" s="261">
        <v>343269400</v>
      </c>
      <c r="AO152" s="261">
        <v>343269400</v>
      </c>
      <c r="AP152" s="261">
        <v>0</v>
      </c>
      <c r="AQ152" s="261"/>
      <c r="AS152" s="261"/>
    </row>
    <row r="153" spans="1:45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 t="shared" ref="D153:R153" si="88">+D154+D155+D162+D166+D172+D178+D183+D188</f>
        <v>5000000</v>
      </c>
      <c r="E153" s="9">
        <f t="shared" si="88"/>
        <v>0</v>
      </c>
      <c r="F153" s="9">
        <f t="shared" si="88"/>
        <v>0</v>
      </c>
      <c r="G153" s="9">
        <f t="shared" si="88"/>
        <v>1209262450</v>
      </c>
      <c r="H153" s="9">
        <f t="shared" si="88"/>
        <v>37060743</v>
      </c>
      <c r="I153" s="9">
        <f t="shared" si="88"/>
        <v>392990155.09000003</v>
      </c>
      <c r="J153" s="9">
        <f t="shared" si="79"/>
        <v>816272294.90999997</v>
      </c>
      <c r="K153" s="9">
        <f t="shared" si="88"/>
        <v>48124157</v>
      </c>
      <c r="L153" s="9">
        <f t="shared" si="88"/>
        <v>194199201.09</v>
      </c>
      <c r="M153" s="9">
        <f t="shared" si="88"/>
        <v>198790954</v>
      </c>
      <c r="N153" s="9">
        <f t="shared" si="88"/>
        <v>72762546</v>
      </c>
      <c r="O153" s="9">
        <f t="shared" si="88"/>
        <v>571660187.09000003</v>
      </c>
      <c r="P153" s="9">
        <f t="shared" si="88"/>
        <v>178670032</v>
      </c>
      <c r="Q153" s="9">
        <f t="shared" si="81"/>
        <v>637602262.90999997</v>
      </c>
      <c r="R153" s="9">
        <f t="shared" si="88"/>
        <v>194199201.09</v>
      </c>
      <c r="T153" s="183" t="s">
        <v>265</v>
      </c>
      <c r="U153" s="259" t="s">
        <v>266</v>
      </c>
      <c r="V153" s="261">
        <v>1204262450</v>
      </c>
      <c r="W153" s="261">
        <v>5000000</v>
      </c>
      <c r="X153" s="261">
        <v>0</v>
      </c>
      <c r="Y153" s="261">
        <v>0</v>
      </c>
      <c r="Z153" s="261">
        <v>1209262450</v>
      </c>
      <c r="AA153" s="261">
        <v>37060743</v>
      </c>
      <c r="AB153" s="261">
        <v>392990155.09000003</v>
      </c>
      <c r="AC153" s="261">
        <v>816272294.90999997</v>
      </c>
      <c r="AD153" s="261">
        <v>48124157</v>
      </c>
      <c r="AE153" s="261">
        <v>194199201.09</v>
      </c>
      <c r="AF153" s="261">
        <v>201790954.00000003</v>
      </c>
      <c r="AG153" s="261">
        <v>72762546</v>
      </c>
      <c r="AH153" s="261">
        <v>571660187.09000003</v>
      </c>
      <c r="AI153" s="261">
        <v>178670032</v>
      </c>
      <c r="AJ153" s="261">
        <v>637602262.90999997</v>
      </c>
      <c r="AK153" s="261">
        <v>9349000</v>
      </c>
      <c r="AL153" s="261">
        <v>69531046</v>
      </c>
      <c r="AM153" s="261">
        <v>589074882.09000003</v>
      </c>
      <c r="AN153" s="261">
        <v>579725882.09000003</v>
      </c>
      <c r="AO153" s="261">
        <v>192339170</v>
      </c>
      <c r="AP153" s="261">
        <v>629536567.90999997</v>
      </c>
      <c r="AQ153" s="9"/>
      <c r="AS153" s="9"/>
    </row>
    <row r="154" spans="1:45" x14ac:dyDescent="0.25">
      <c r="A154" s="2" t="s">
        <v>267</v>
      </c>
      <c r="B154" s="259" t="s">
        <v>268</v>
      </c>
      <c r="C154" s="261">
        <v>6000000</v>
      </c>
      <c r="D154" s="261">
        <v>0</v>
      </c>
      <c r="E154" s="261">
        <v>0</v>
      </c>
      <c r="F154" s="261">
        <v>0</v>
      </c>
      <c r="G154" s="261">
        <f>+C154+D154-E154+F154</f>
        <v>6000000</v>
      </c>
      <c r="H154" s="261">
        <v>0</v>
      </c>
      <c r="I154" s="261">
        <v>1131277</v>
      </c>
      <c r="J154" s="261">
        <f t="shared" si="79"/>
        <v>4868723</v>
      </c>
      <c r="K154" s="261">
        <v>0</v>
      </c>
      <c r="L154" s="261">
        <v>131277</v>
      </c>
      <c r="M154" s="261">
        <f t="shared" si="86"/>
        <v>1000000</v>
      </c>
      <c r="N154" s="261">
        <v>1000000</v>
      </c>
      <c r="O154" s="261">
        <v>2131277</v>
      </c>
      <c r="P154" s="261">
        <f t="shared" si="80"/>
        <v>1000000</v>
      </c>
      <c r="Q154" s="177">
        <f t="shared" si="81"/>
        <v>3868723</v>
      </c>
      <c r="R154" s="261">
        <f t="shared" si="82"/>
        <v>131277</v>
      </c>
      <c r="T154" s="183" t="s">
        <v>267</v>
      </c>
      <c r="U154" s="259" t="s">
        <v>268</v>
      </c>
      <c r="V154" s="261">
        <v>6000000</v>
      </c>
      <c r="W154" s="261">
        <v>0</v>
      </c>
      <c r="X154" s="261">
        <v>0</v>
      </c>
      <c r="Y154" s="261">
        <v>0</v>
      </c>
      <c r="Z154" s="261">
        <v>6000000</v>
      </c>
      <c r="AA154" s="261">
        <v>0</v>
      </c>
      <c r="AB154" s="261">
        <v>1131277</v>
      </c>
      <c r="AC154" s="261">
        <v>4868723</v>
      </c>
      <c r="AD154" s="261">
        <v>0</v>
      </c>
      <c r="AE154" s="261">
        <v>131277</v>
      </c>
      <c r="AF154" s="261">
        <v>1000000</v>
      </c>
      <c r="AG154" s="261">
        <v>1000000</v>
      </c>
      <c r="AH154" s="261">
        <v>2131277</v>
      </c>
      <c r="AI154" s="261">
        <v>1000000</v>
      </c>
      <c r="AJ154" s="261">
        <v>3868723</v>
      </c>
      <c r="AK154" s="261">
        <v>0</v>
      </c>
      <c r="AL154" s="261">
        <v>1000000</v>
      </c>
      <c r="AM154" s="261">
        <v>2131277</v>
      </c>
      <c r="AN154" s="261">
        <v>2131277</v>
      </c>
      <c r="AO154" s="261">
        <v>1000000</v>
      </c>
      <c r="AP154" s="261">
        <v>3868723</v>
      </c>
      <c r="AQ154" s="261"/>
      <c r="AS154" s="261"/>
    </row>
    <row r="155" spans="1:45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 t="shared" ref="D155:R155" si="89">SUM(D156:D161)</f>
        <v>0</v>
      </c>
      <c r="E155" s="9">
        <f t="shared" si="89"/>
        <v>0</v>
      </c>
      <c r="F155" s="9">
        <f t="shared" si="89"/>
        <v>0</v>
      </c>
      <c r="G155" s="9">
        <f t="shared" si="89"/>
        <v>136350000</v>
      </c>
      <c r="H155" s="9">
        <f t="shared" si="89"/>
        <v>32668400</v>
      </c>
      <c r="I155" s="9">
        <f t="shared" si="89"/>
        <v>86627116.460000008</v>
      </c>
      <c r="J155" s="9">
        <f t="shared" si="79"/>
        <v>49722883.539999992</v>
      </c>
      <c r="K155" s="9">
        <f t="shared" si="89"/>
        <v>42457300</v>
      </c>
      <c r="L155" s="9">
        <f t="shared" si="89"/>
        <v>54341496.460000001</v>
      </c>
      <c r="M155" s="9">
        <f t="shared" si="89"/>
        <v>32285620</v>
      </c>
      <c r="N155" s="9">
        <f t="shared" si="89"/>
        <v>5282300</v>
      </c>
      <c r="O155" s="9">
        <f t="shared" si="89"/>
        <v>113034908.46000001</v>
      </c>
      <c r="P155" s="9">
        <f t="shared" si="89"/>
        <v>26407792</v>
      </c>
      <c r="Q155" s="9">
        <f t="shared" si="81"/>
        <v>23315091.539999992</v>
      </c>
      <c r="R155" s="9">
        <f t="shared" si="89"/>
        <v>54341496.460000001</v>
      </c>
      <c r="T155" s="183" t="s">
        <v>269</v>
      </c>
      <c r="U155" s="259" t="s">
        <v>270</v>
      </c>
      <c r="V155" s="261">
        <v>136350000</v>
      </c>
      <c r="W155" s="261">
        <v>0</v>
      </c>
      <c r="X155" s="261">
        <v>0</v>
      </c>
      <c r="Y155" s="261">
        <v>0</v>
      </c>
      <c r="Z155" s="261">
        <v>136350000</v>
      </c>
      <c r="AA155" s="261">
        <v>32668400</v>
      </c>
      <c r="AB155" s="261">
        <v>86627116.460000008</v>
      </c>
      <c r="AC155" s="261">
        <v>49722883.539999992</v>
      </c>
      <c r="AD155" s="261">
        <v>42457300</v>
      </c>
      <c r="AE155" s="261">
        <v>54341496.460000001</v>
      </c>
      <c r="AF155" s="261">
        <v>33785620.000000007</v>
      </c>
      <c r="AG155" s="261">
        <v>5282300</v>
      </c>
      <c r="AH155" s="261">
        <v>113034908.46000001</v>
      </c>
      <c r="AI155" s="261">
        <v>26407792</v>
      </c>
      <c r="AJ155" s="261">
        <v>23315091.539999992</v>
      </c>
      <c r="AK155" s="261">
        <v>4822754</v>
      </c>
      <c r="AL155" s="261">
        <v>2100000</v>
      </c>
      <c r="AM155" s="261">
        <v>121446311.46000001</v>
      </c>
      <c r="AN155" s="261">
        <v>116623557.46000001</v>
      </c>
      <c r="AO155" s="261">
        <v>31207541</v>
      </c>
      <c r="AP155" s="261">
        <v>19726442.539999992</v>
      </c>
      <c r="AQ155" s="9"/>
      <c r="AS155" s="9"/>
    </row>
    <row r="156" spans="1:45" x14ac:dyDescent="0.25">
      <c r="A156" s="2" t="s">
        <v>271</v>
      </c>
      <c r="B156" s="259" t="s">
        <v>272</v>
      </c>
      <c r="C156" s="261">
        <v>48000000</v>
      </c>
      <c r="D156" s="261">
        <v>0</v>
      </c>
      <c r="E156" s="261">
        <v>0</v>
      </c>
      <c r="F156" s="261">
        <v>0</v>
      </c>
      <c r="G156" s="261">
        <f t="shared" ref="G156:G161" si="90">+C156+D156-E156+F156</f>
        <v>48000000</v>
      </c>
      <c r="H156" s="261">
        <v>370300</v>
      </c>
      <c r="I156" s="261">
        <v>32450093.530000001</v>
      </c>
      <c r="J156" s="261">
        <f t="shared" si="79"/>
        <v>15549906.469999999</v>
      </c>
      <c r="K156" s="261">
        <v>0</v>
      </c>
      <c r="L156" s="261">
        <v>2505273.5299999998</v>
      </c>
      <c r="M156" s="261">
        <f t="shared" si="86"/>
        <v>29944820</v>
      </c>
      <c r="N156" s="261">
        <v>2941500</v>
      </c>
      <c r="O156" s="261">
        <v>41315185.530000001</v>
      </c>
      <c r="P156" s="261">
        <f t="shared" si="80"/>
        <v>8865092</v>
      </c>
      <c r="Q156" s="177">
        <f t="shared" si="81"/>
        <v>6684814.4699999988</v>
      </c>
      <c r="R156" s="261">
        <f t="shared" si="82"/>
        <v>2505273.5299999998</v>
      </c>
      <c r="T156" s="183" t="s">
        <v>271</v>
      </c>
      <c r="U156" s="259" t="s">
        <v>272</v>
      </c>
      <c r="V156" s="261">
        <v>48000000</v>
      </c>
      <c r="W156" s="261">
        <v>0</v>
      </c>
      <c r="X156" s="261">
        <v>0</v>
      </c>
      <c r="Y156" s="261">
        <v>0</v>
      </c>
      <c r="Z156" s="261">
        <v>48000000</v>
      </c>
      <c r="AA156" s="261">
        <v>370300</v>
      </c>
      <c r="AB156" s="261">
        <v>32450093.530000001</v>
      </c>
      <c r="AC156" s="261">
        <v>15549906.469999999</v>
      </c>
      <c r="AD156" s="261">
        <v>0</v>
      </c>
      <c r="AE156" s="261">
        <v>2505273.5299999998</v>
      </c>
      <c r="AF156" s="261">
        <v>29944820</v>
      </c>
      <c r="AG156" s="261">
        <v>2941500</v>
      </c>
      <c r="AH156" s="261">
        <v>41315185.530000001</v>
      </c>
      <c r="AI156" s="261">
        <v>8865092</v>
      </c>
      <c r="AJ156" s="261">
        <v>6684814.4699999988</v>
      </c>
      <c r="AK156" s="261">
        <v>4822754</v>
      </c>
      <c r="AL156" s="261">
        <v>600000</v>
      </c>
      <c r="AM156" s="261">
        <v>50567388.530000001</v>
      </c>
      <c r="AN156" s="261">
        <v>45744634.530000001</v>
      </c>
      <c r="AO156" s="261">
        <v>13664841</v>
      </c>
      <c r="AP156" s="261">
        <v>2255365.4699999988</v>
      </c>
      <c r="AQ156" s="261"/>
      <c r="AS156" s="261"/>
    </row>
    <row r="157" spans="1:45" x14ac:dyDescent="0.25">
      <c r="A157" s="2" t="s">
        <v>273</v>
      </c>
      <c r="B157" s="259" t="s">
        <v>274</v>
      </c>
      <c r="C157" s="261">
        <v>64500000</v>
      </c>
      <c r="D157" s="261">
        <v>0</v>
      </c>
      <c r="E157" s="261">
        <v>0</v>
      </c>
      <c r="F157" s="261">
        <v>0</v>
      </c>
      <c r="G157" s="261">
        <f t="shared" si="90"/>
        <v>64500000</v>
      </c>
      <c r="H157" s="261">
        <v>31457300</v>
      </c>
      <c r="I157" s="261">
        <v>47961300</v>
      </c>
      <c r="J157" s="261">
        <f t="shared" si="79"/>
        <v>16538700</v>
      </c>
      <c r="K157" s="261">
        <v>42457300</v>
      </c>
      <c r="L157" s="261">
        <v>47961300</v>
      </c>
      <c r="M157" s="261">
        <f t="shared" si="86"/>
        <v>0</v>
      </c>
      <c r="N157" s="261">
        <v>0</v>
      </c>
      <c r="O157" s="261">
        <v>63504000</v>
      </c>
      <c r="P157" s="261">
        <f t="shared" si="80"/>
        <v>15542700</v>
      </c>
      <c r="Q157" s="177">
        <f t="shared" si="81"/>
        <v>996000</v>
      </c>
      <c r="R157" s="261">
        <f t="shared" si="82"/>
        <v>47961300</v>
      </c>
      <c r="T157" s="183" t="s">
        <v>273</v>
      </c>
      <c r="U157" s="259" t="s">
        <v>274</v>
      </c>
      <c r="V157" s="261">
        <v>64500000</v>
      </c>
      <c r="W157" s="261">
        <v>0</v>
      </c>
      <c r="X157" s="261">
        <v>0</v>
      </c>
      <c r="Y157" s="261">
        <v>0</v>
      </c>
      <c r="Z157" s="261">
        <v>64500000</v>
      </c>
      <c r="AA157" s="261">
        <v>31457300</v>
      </c>
      <c r="AB157" s="261">
        <v>47961300</v>
      </c>
      <c r="AC157" s="261">
        <v>16538700</v>
      </c>
      <c r="AD157" s="261">
        <v>42457300</v>
      </c>
      <c r="AE157" s="261">
        <v>47961300</v>
      </c>
      <c r="AF157" s="261">
        <v>0</v>
      </c>
      <c r="AG157" s="261">
        <v>0</v>
      </c>
      <c r="AH157" s="261">
        <v>63504000</v>
      </c>
      <c r="AI157" s="261">
        <v>15542700</v>
      </c>
      <c r="AJ157" s="261">
        <v>996000</v>
      </c>
      <c r="AK157" s="261">
        <v>0</v>
      </c>
      <c r="AL157" s="261">
        <v>0</v>
      </c>
      <c r="AM157" s="261">
        <v>63504000</v>
      </c>
      <c r="AN157" s="261">
        <v>63504000</v>
      </c>
      <c r="AO157" s="261">
        <v>15542700</v>
      </c>
      <c r="AP157" s="261">
        <v>996000</v>
      </c>
      <c r="AQ157" s="261"/>
      <c r="AS157" s="261"/>
    </row>
    <row r="158" spans="1:45" x14ac:dyDescent="0.25">
      <c r="A158" s="2" t="s">
        <v>275</v>
      </c>
      <c r="B158" s="259" t="s">
        <v>276</v>
      </c>
      <c r="C158" s="261">
        <v>9450000</v>
      </c>
      <c r="D158" s="261">
        <v>0</v>
      </c>
      <c r="E158" s="261">
        <v>0</v>
      </c>
      <c r="F158" s="261">
        <v>0</v>
      </c>
      <c r="G158" s="261">
        <f t="shared" si="90"/>
        <v>9450000</v>
      </c>
      <c r="H158" s="261">
        <v>0</v>
      </c>
      <c r="I158" s="261">
        <v>0</v>
      </c>
      <c r="J158" s="261">
        <f t="shared" si="79"/>
        <v>9450000</v>
      </c>
      <c r="K158" s="261">
        <v>0</v>
      </c>
      <c r="L158" s="261">
        <v>0</v>
      </c>
      <c r="M158" s="261">
        <f t="shared" si="86"/>
        <v>0</v>
      </c>
      <c r="N158" s="261">
        <v>0</v>
      </c>
      <c r="O158" s="261">
        <v>0</v>
      </c>
      <c r="P158" s="261">
        <f t="shared" si="80"/>
        <v>0</v>
      </c>
      <c r="Q158" s="177">
        <f t="shared" si="81"/>
        <v>9450000</v>
      </c>
      <c r="R158" s="261">
        <f t="shared" si="82"/>
        <v>0</v>
      </c>
      <c r="T158" s="183" t="s">
        <v>275</v>
      </c>
      <c r="U158" s="259" t="s">
        <v>276</v>
      </c>
      <c r="V158" s="261">
        <v>9450000</v>
      </c>
      <c r="W158" s="261">
        <v>0</v>
      </c>
      <c r="X158" s="261">
        <v>0</v>
      </c>
      <c r="Y158" s="261">
        <v>0</v>
      </c>
      <c r="Z158" s="261">
        <v>9450000</v>
      </c>
      <c r="AA158" s="261">
        <v>0</v>
      </c>
      <c r="AB158" s="261">
        <v>0</v>
      </c>
      <c r="AC158" s="261">
        <v>9450000</v>
      </c>
      <c r="AD158" s="261">
        <v>0</v>
      </c>
      <c r="AE158" s="261">
        <v>0</v>
      </c>
      <c r="AF158" s="261">
        <v>0</v>
      </c>
      <c r="AG158" s="261">
        <v>0</v>
      </c>
      <c r="AH158" s="261">
        <v>0</v>
      </c>
      <c r="AI158" s="261">
        <v>0</v>
      </c>
      <c r="AJ158" s="261">
        <v>9450000</v>
      </c>
      <c r="AK158" s="261">
        <v>0</v>
      </c>
      <c r="AL158" s="261">
        <v>0</v>
      </c>
      <c r="AM158" s="261">
        <v>0</v>
      </c>
      <c r="AN158" s="261">
        <v>0</v>
      </c>
      <c r="AO158" s="261">
        <v>0</v>
      </c>
      <c r="AP158" s="261">
        <v>9450000</v>
      </c>
      <c r="AQ158" s="261"/>
      <c r="AS158" s="261"/>
    </row>
    <row r="159" spans="1:45" x14ac:dyDescent="0.25">
      <c r="A159" s="2" t="s">
        <v>277</v>
      </c>
      <c r="B159" s="259" t="s">
        <v>278</v>
      </c>
      <c r="C159" s="261">
        <v>2100000</v>
      </c>
      <c r="D159" s="261">
        <v>0</v>
      </c>
      <c r="E159" s="261">
        <v>0</v>
      </c>
      <c r="F159" s="261">
        <v>0</v>
      </c>
      <c r="G159" s="261">
        <f t="shared" si="90"/>
        <v>2100000</v>
      </c>
      <c r="H159" s="261">
        <v>0</v>
      </c>
      <c r="I159" s="261">
        <v>0</v>
      </c>
      <c r="J159" s="261">
        <f t="shared" si="79"/>
        <v>2100000</v>
      </c>
      <c r="K159" s="261">
        <v>0</v>
      </c>
      <c r="L159" s="261">
        <v>0</v>
      </c>
      <c r="M159" s="261">
        <f t="shared" si="86"/>
        <v>0</v>
      </c>
      <c r="N159" s="261">
        <v>0</v>
      </c>
      <c r="O159" s="261">
        <v>0</v>
      </c>
      <c r="P159" s="261">
        <f t="shared" si="80"/>
        <v>0</v>
      </c>
      <c r="Q159" s="177">
        <f t="shared" si="81"/>
        <v>2100000</v>
      </c>
      <c r="R159" s="261">
        <f t="shared" si="82"/>
        <v>0</v>
      </c>
      <c r="T159" s="183" t="s">
        <v>277</v>
      </c>
      <c r="U159" s="259" t="s">
        <v>278</v>
      </c>
      <c r="V159" s="261">
        <v>2100000</v>
      </c>
      <c r="W159" s="261">
        <v>0</v>
      </c>
      <c r="X159" s="261">
        <v>0</v>
      </c>
      <c r="Y159" s="261">
        <v>0</v>
      </c>
      <c r="Z159" s="261">
        <v>2100000</v>
      </c>
      <c r="AA159" s="261">
        <v>0</v>
      </c>
      <c r="AB159" s="261">
        <v>0</v>
      </c>
      <c r="AC159" s="261">
        <v>2100000</v>
      </c>
      <c r="AD159" s="261">
        <v>0</v>
      </c>
      <c r="AE159" s="261">
        <v>0</v>
      </c>
      <c r="AF159" s="261">
        <v>0</v>
      </c>
      <c r="AG159" s="261">
        <v>0</v>
      </c>
      <c r="AH159" s="261">
        <v>0</v>
      </c>
      <c r="AI159" s="261">
        <v>0</v>
      </c>
      <c r="AJ159" s="261">
        <v>2100000</v>
      </c>
      <c r="AK159" s="261">
        <v>0</v>
      </c>
      <c r="AL159" s="261">
        <v>0</v>
      </c>
      <c r="AM159" s="261">
        <v>0</v>
      </c>
      <c r="AN159" s="261">
        <v>0</v>
      </c>
      <c r="AO159" s="261">
        <v>0</v>
      </c>
      <c r="AP159" s="261">
        <v>2100000</v>
      </c>
      <c r="AQ159" s="261"/>
      <c r="AS159" s="261"/>
    </row>
    <row r="160" spans="1:45" x14ac:dyDescent="0.25">
      <c r="A160" s="2" t="s">
        <v>279</v>
      </c>
      <c r="B160" s="259" t="s">
        <v>280</v>
      </c>
      <c r="C160" s="261">
        <v>4800000</v>
      </c>
      <c r="D160" s="261">
        <v>0</v>
      </c>
      <c r="E160" s="261">
        <v>0</v>
      </c>
      <c r="F160" s="261">
        <v>0</v>
      </c>
      <c r="G160" s="261">
        <f t="shared" si="90"/>
        <v>4800000</v>
      </c>
      <c r="H160" s="261">
        <v>452300</v>
      </c>
      <c r="I160" s="261">
        <v>2233300</v>
      </c>
      <c r="J160" s="261">
        <f t="shared" si="79"/>
        <v>2566700</v>
      </c>
      <c r="K160" s="261">
        <v>0</v>
      </c>
      <c r="L160" s="261">
        <v>281000</v>
      </c>
      <c r="M160" s="261">
        <f t="shared" si="86"/>
        <v>1952300</v>
      </c>
      <c r="N160" s="261">
        <v>952300</v>
      </c>
      <c r="O160" s="179">
        <v>2733300</v>
      </c>
      <c r="P160" s="261">
        <f t="shared" si="80"/>
        <v>500000</v>
      </c>
      <c r="Q160" s="177">
        <f t="shared" si="81"/>
        <v>2066700</v>
      </c>
      <c r="R160" s="261">
        <f t="shared" si="82"/>
        <v>281000</v>
      </c>
      <c r="T160" s="183" t="s">
        <v>279</v>
      </c>
      <c r="U160" s="259" t="s">
        <v>280</v>
      </c>
      <c r="V160" s="261">
        <v>4800000</v>
      </c>
      <c r="W160" s="261">
        <v>0</v>
      </c>
      <c r="X160" s="261">
        <v>0</v>
      </c>
      <c r="Y160" s="261">
        <v>0</v>
      </c>
      <c r="Z160" s="261">
        <v>4800000</v>
      </c>
      <c r="AA160" s="261">
        <v>452300</v>
      </c>
      <c r="AB160" s="261">
        <v>2233300</v>
      </c>
      <c r="AC160" s="261">
        <v>2566700</v>
      </c>
      <c r="AD160" s="261">
        <v>0</v>
      </c>
      <c r="AE160" s="261">
        <v>281000</v>
      </c>
      <c r="AF160" s="261">
        <v>1952300</v>
      </c>
      <c r="AG160" s="261">
        <v>952300</v>
      </c>
      <c r="AH160" s="261">
        <v>2733300</v>
      </c>
      <c r="AI160" s="261">
        <v>500000</v>
      </c>
      <c r="AJ160" s="261">
        <v>2066700</v>
      </c>
      <c r="AK160" s="261">
        <v>0</v>
      </c>
      <c r="AL160" s="261">
        <v>500000</v>
      </c>
      <c r="AM160" s="261">
        <v>2281000</v>
      </c>
      <c r="AN160" s="261">
        <v>2281000</v>
      </c>
      <c r="AO160" s="261">
        <v>500000</v>
      </c>
      <c r="AP160" s="261">
        <v>2519000</v>
      </c>
      <c r="AQ160" s="261"/>
      <c r="AS160" s="261"/>
    </row>
    <row r="161" spans="1:45" x14ac:dyDescent="0.25">
      <c r="A161" s="2" t="s">
        <v>281</v>
      </c>
      <c r="B161" s="259" t="s">
        <v>282</v>
      </c>
      <c r="C161" s="261">
        <v>7500000</v>
      </c>
      <c r="D161" s="261">
        <v>0</v>
      </c>
      <c r="E161" s="261">
        <v>0</v>
      </c>
      <c r="F161" s="261">
        <v>0</v>
      </c>
      <c r="G161" s="261">
        <f t="shared" si="90"/>
        <v>7500000</v>
      </c>
      <c r="H161" s="261">
        <v>388500</v>
      </c>
      <c r="I161" s="261">
        <v>3982422.9299999997</v>
      </c>
      <c r="J161" s="261">
        <f t="shared" si="79"/>
        <v>3517577.0700000003</v>
      </c>
      <c r="K161" s="261">
        <v>0</v>
      </c>
      <c r="L161" s="261">
        <v>3593922.93</v>
      </c>
      <c r="M161" s="261">
        <f t="shared" si="86"/>
        <v>388499.99999999953</v>
      </c>
      <c r="N161" s="261">
        <v>1388500</v>
      </c>
      <c r="O161" s="261">
        <v>5482422.9299999997</v>
      </c>
      <c r="P161" s="261">
        <f t="shared" si="80"/>
        <v>1500000</v>
      </c>
      <c r="Q161" s="177">
        <f t="shared" si="81"/>
        <v>2017577.0700000003</v>
      </c>
      <c r="R161" s="261">
        <f t="shared" si="82"/>
        <v>3593922.93</v>
      </c>
      <c r="T161" s="183" t="s">
        <v>281</v>
      </c>
      <c r="U161" s="259" t="s">
        <v>282</v>
      </c>
      <c r="V161" s="261">
        <v>7500000</v>
      </c>
      <c r="W161" s="261">
        <v>0</v>
      </c>
      <c r="X161" s="261">
        <v>0</v>
      </c>
      <c r="Y161" s="261">
        <v>0</v>
      </c>
      <c r="Z161" s="261">
        <v>7500000</v>
      </c>
      <c r="AA161" s="261">
        <v>388500</v>
      </c>
      <c r="AB161" s="261">
        <v>3982422.9299999997</v>
      </c>
      <c r="AC161" s="261">
        <v>3517577.0700000003</v>
      </c>
      <c r="AD161" s="261">
        <v>0</v>
      </c>
      <c r="AE161" s="261">
        <v>3593922.93</v>
      </c>
      <c r="AF161" s="261">
        <v>1888499.9999999995</v>
      </c>
      <c r="AG161" s="261">
        <v>1388500</v>
      </c>
      <c r="AH161" s="261">
        <v>5482422.9299999997</v>
      </c>
      <c r="AI161" s="261">
        <v>1500000</v>
      </c>
      <c r="AJ161" s="261">
        <v>2017577.0700000003</v>
      </c>
      <c r="AK161" s="261">
        <v>0</v>
      </c>
      <c r="AL161" s="261">
        <v>1000000</v>
      </c>
      <c r="AM161" s="261">
        <v>5093922.93</v>
      </c>
      <c r="AN161" s="261">
        <v>5093922.93</v>
      </c>
      <c r="AO161" s="261">
        <v>1500000</v>
      </c>
      <c r="AP161" s="261">
        <v>2406077.0700000003</v>
      </c>
      <c r="AQ161" s="261"/>
      <c r="AS161" s="261"/>
    </row>
    <row r="162" spans="1:45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 t="shared" ref="D162:R162" si="91">+D163+D164+D165</f>
        <v>5000000</v>
      </c>
      <c r="E162" s="9">
        <f t="shared" si="91"/>
        <v>0</v>
      </c>
      <c r="F162" s="9">
        <f t="shared" si="91"/>
        <v>0</v>
      </c>
      <c r="G162" s="9">
        <f t="shared" si="91"/>
        <v>77633333</v>
      </c>
      <c r="H162" s="9">
        <f t="shared" si="91"/>
        <v>0</v>
      </c>
      <c r="I162" s="9">
        <f t="shared" si="91"/>
        <v>56200000</v>
      </c>
      <c r="J162" s="9">
        <f t="shared" si="79"/>
        <v>21433333</v>
      </c>
      <c r="K162" s="9">
        <f t="shared" si="91"/>
        <v>0</v>
      </c>
      <c r="L162" s="9">
        <f t="shared" si="91"/>
        <v>13630130</v>
      </c>
      <c r="M162" s="9">
        <f t="shared" si="91"/>
        <v>42569870</v>
      </c>
      <c r="N162" s="9">
        <f t="shared" si="91"/>
        <v>300000</v>
      </c>
      <c r="O162" s="9">
        <f t="shared" si="91"/>
        <v>56500000</v>
      </c>
      <c r="P162" s="9">
        <f t="shared" si="91"/>
        <v>300000</v>
      </c>
      <c r="Q162" s="9">
        <f t="shared" si="81"/>
        <v>21133333</v>
      </c>
      <c r="R162" s="9">
        <f t="shared" si="91"/>
        <v>13630130</v>
      </c>
      <c r="T162" s="183" t="s">
        <v>283</v>
      </c>
      <c r="U162" s="259" t="s">
        <v>284</v>
      </c>
      <c r="V162" s="261">
        <v>72633333</v>
      </c>
      <c r="W162" s="261">
        <v>5000000</v>
      </c>
      <c r="X162" s="261">
        <v>0</v>
      </c>
      <c r="Y162" s="261">
        <v>0</v>
      </c>
      <c r="Z162" s="261">
        <v>77633333</v>
      </c>
      <c r="AA162" s="261">
        <v>0</v>
      </c>
      <c r="AB162" s="261">
        <v>56200000</v>
      </c>
      <c r="AC162" s="261">
        <v>21433333</v>
      </c>
      <c r="AD162" s="261">
        <v>0</v>
      </c>
      <c r="AE162" s="261">
        <v>13630130</v>
      </c>
      <c r="AF162" s="261">
        <v>42569870</v>
      </c>
      <c r="AG162" s="261">
        <v>300000</v>
      </c>
      <c r="AH162" s="261">
        <v>56500000</v>
      </c>
      <c r="AI162" s="261">
        <v>300000</v>
      </c>
      <c r="AJ162" s="261">
        <v>21133333</v>
      </c>
      <c r="AK162" s="261">
        <v>0</v>
      </c>
      <c r="AL162" s="261">
        <v>300000</v>
      </c>
      <c r="AM162" s="261">
        <v>56500000</v>
      </c>
      <c r="AN162" s="261">
        <v>56500000</v>
      </c>
      <c r="AO162" s="261">
        <v>300000</v>
      </c>
      <c r="AP162" s="261">
        <v>21133333</v>
      </c>
      <c r="AQ162" s="9"/>
      <c r="AS162" s="9"/>
    </row>
    <row r="163" spans="1:45" x14ac:dyDescent="0.25">
      <c r="A163" s="2" t="s">
        <v>285</v>
      </c>
      <c r="B163" s="259" t="s">
        <v>286</v>
      </c>
      <c r="C163" s="261">
        <v>32000000</v>
      </c>
      <c r="D163" s="261">
        <v>5000000</v>
      </c>
      <c r="E163" s="261">
        <v>0</v>
      </c>
      <c r="F163" s="261">
        <v>0</v>
      </c>
      <c r="G163" s="261">
        <f>+C163+D163-E163+F163</f>
        <v>37000000</v>
      </c>
      <c r="H163" s="261">
        <v>0</v>
      </c>
      <c r="I163" s="261">
        <v>32900000</v>
      </c>
      <c r="J163" s="261">
        <f t="shared" si="79"/>
        <v>4100000</v>
      </c>
      <c r="K163" s="261">
        <v>0</v>
      </c>
      <c r="L163" s="261">
        <v>7642506</v>
      </c>
      <c r="M163" s="261">
        <f t="shared" si="86"/>
        <v>25257494</v>
      </c>
      <c r="N163" s="261">
        <v>0</v>
      </c>
      <c r="O163" s="261">
        <v>32900000</v>
      </c>
      <c r="P163" s="261">
        <f t="shared" si="80"/>
        <v>0</v>
      </c>
      <c r="Q163" s="177">
        <f t="shared" si="81"/>
        <v>4100000</v>
      </c>
      <c r="R163" s="261">
        <f t="shared" si="82"/>
        <v>7642506</v>
      </c>
      <c r="T163" s="183" t="s">
        <v>285</v>
      </c>
      <c r="U163" s="259" t="s">
        <v>286</v>
      </c>
      <c r="V163" s="261">
        <v>32000000</v>
      </c>
      <c r="W163" s="261">
        <v>5000000</v>
      </c>
      <c r="X163" s="261">
        <v>0</v>
      </c>
      <c r="Y163" s="261">
        <v>0</v>
      </c>
      <c r="Z163" s="261">
        <v>37000000</v>
      </c>
      <c r="AA163" s="261">
        <v>0</v>
      </c>
      <c r="AB163" s="261">
        <v>32900000</v>
      </c>
      <c r="AC163" s="261">
        <v>4100000</v>
      </c>
      <c r="AD163" s="261">
        <v>0</v>
      </c>
      <c r="AE163" s="261">
        <v>7642506</v>
      </c>
      <c r="AF163" s="261">
        <v>25257494</v>
      </c>
      <c r="AG163" s="261">
        <v>0</v>
      </c>
      <c r="AH163" s="261">
        <v>32900000</v>
      </c>
      <c r="AI163" s="261">
        <v>0</v>
      </c>
      <c r="AJ163" s="261">
        <v>4100000</v>
      </c>
      <c r="AK163" s="261">
        <v>0</v>
      </c>
      <c r="AL163" s="261">
        <v>0</v>
      </c>
      <c r="AM163" s="261">
        <v>32900000</v>
      </c>
      <c r="AN163" s="261">
        <v>32900000</v>
      </c>
      <c r="AO163" s="261">
        <v>0</v>
      </c>
      <c r="AP163" s="261">
        <v>4100000</v>
      </c>
      <c r="AQ163" s="261"/>
      <c r="AS163" s="261"/>
    </row>
    <row r="164" spans="1:45" x14ac:dyDescent="0.25">
      <c r="A164" s="2" t="s">
        <v>287</v>
      </c>
      <c r="B164" s="259" t="s">
        <v>288</v>
      </c>
      <c r="C164" s="261">
        <v>40333333</v>
      </c>
      <c r="D164" s="261">
        <v>0</v>
      </c>
      <c r="E164" s="261">
        <v>0</v>
      </c>
      <c r="F164" s="261">
        <v>0</v>
      </c>
      <c r="G164" s="261">
        <f>+C164+D164-E164+F164</f>
        <v>40333333</v>
      </c>
      <c r="H164" s="261">
        <v>0</v>
      </c>
      <c r="I164" s="261">
        <v>23300000</v>
      </c>
      <c r="J164" s="261">
        <f t="shared" si="79"/>
        <v>17033333</v>
      </c>
      <c r="K164" s="261">
        <v>0</v>
      </c>
      <c r="L164" s="261">
        <v>5987624</v>
      </c>
      <c r="M164" s="261">
        <f t="shared" si="86"/>
        <v>17312376</v>
      </c>
      <c r="N164" s="261">
        <v>300000</v>
      </c>
      <c r="O164" s="261">
        <v>23600000</v>
      </c>
      <c r="P164" s="261">
        <f t="shared" si="80"/>
        <v>300000</v>
      </c>
      <c r="Q164" s="177">
        <f t="shared" si="81"/>
        <v>16733333</v>
      </c>
      <c r="R164" s="261">
        <f t="shared" si="82"/>
        <v>5987624</v>
      </c>
      <c r="T164" s="183" t="s">
        <v>287</v>
      </c>
      <c r="U164" s="259" t="s">
        <v>288</v>
      </c>
      <c r="V164" s="261">
        <v>40333333</v>
      </c>
      <c r="W164" s="261">
        <v>0</v>
      </c>
      <c r="X164" s="261">
        <v>0</v>
      </c>
      <c r="Y164" s="261">
        <v>0</v>
      </c>
      <c r="Z164" s="261">
        <v>40333333</v>
      </c>
      <c r="AA164" s="261">
        <v>0</v>
      </c>
      <c r="AB164" s="261">
        <v>23300000</v>
      </c>
      <c r="AC164" s="261">
        <v>17033333</v>
      </c>
      <c r="AD164" s="261">
        <v>0</v>
      </c>
      <c r="AE164" s="261">
        <v>5987624</v>
      </c>
      <c r="AF164" s="261">
        <v>17312376</v>
      </c>
      <c r="AG164" s="261">
        <v>300000</v>
      </c>
      <c r="AH164" s="261">
        <v>23600000</v>
      </c>
      <c r="AI164" s="261">
        <v>300000</v>
      </c>
      <c r="AJ164" s="261">
        <v>16733333</v>
      </c>
      <c r="AK164" s="261">
        <v>0</v>
      </c>
      <c r="AL164" s="261">
        <v>300000</v>
      </c>
      <c r="AM164" s="261">
        <v>23600000</v>
      </c>
      <c r="AN164" s="261">
        <v>23600000</v>
      </c>
      <c r="AO164" s="261">
        <v>300000</v>
      </c>
      <c r="AP164" s="261">
        <v>16733333</v>
      </c>
      <c r="AQ164" s="261"/>
      <c r="AS164" s="261"/>
    </row>
    <row r="165" spans="1:45" x14ac:dyDescent="0.25">
      <c r="A165" s="2" t="s">
        <v>289</v>
      </c>
      <c r="B165" s="259" t="s">
        <v>290</v>
      </c>
      <c r="C165" s="261">
        <v>300000</v>
      </c>
      <c r="D165" s="261">
        <v>0</v>
      </c>
      <c r="E165" s="261">
        <v>0</v>
      </c>
      <c r="F165" s="261">
        <v>0</v>
      </c>
      <c r="G165" s="261">
        <f>+C165+D165-E165+F165</f>
        <v>300000</v>
      </c>
      <c r="H165" s="261">
        <v>0</v>
      </c>
      <c r="I165" s="261">
        <v>0</v>
      </c>
      <c r="J165" s="261">
        <f t="shared" si="79"/>
        <v>300000</v>
      </c>
      <c r="K165" s="261">
        <v>0</v>
      </c>
      <c r="L165" s="261">
        <v>0</v>
      </c>
      <c r="M165" s="261">
        <f t="shared" si="86"/>
        <v>0</v>
      </c>
      <c r="N165" s="261">
        <v>0</v>
      </c>
      <c r="O165" s="261">
        <v>0</v>
      </c>
      <c r="P165" s="261">
        <f t="shared" si="80"/>
        <v>0</v>
      </c>
      <c r="Q165" s="177">
        <f t="shared" si="81"/>
        <v>300000</v>
      </c>
      <c r="R165" s="261">
        <f t="shared" si="82"/>
        <v>0</v>
      </c>
      <c r="T165" s="183" t="s">
        <v>289</v>
      </c>
      <c r="U165" s="259" t="s">
        <v>290</v>
      </c>
      <c r="V165" s="261">
        <v>300000</v>
      </c>
      <c r="W165" s="261">
        <v>0</v>
      </c>
      <c r="X165" s="261">
        <v>0</v>
      </c>
      <c r="Y165" s="261">
        <v>0</v>
      </c>
      <c r="Z165" s="261">
        <v>300000</v>
      </c>
      <c r="AA165" s="261">
        <v>0</v>
      </c>
      <c r="AB165" s="261">
        <v>0</v>
      </c>
      <c r="AC165" s="261">
        <v>300000</v>
      </c>
      <c r="AD165" s="261">
        <v>0</v>
      </c>
      <c r="AE165" s="261">
        <v>0</v>
      </c>
      <c r="AF165" s="261">
        <v>0</v>
      </c>
      <c r="AG165" s="261">
        <v>0</v>
      </c>
      <c r="AH165" s="261">
        <v>0</v>
      </c>
      <c r="AI165" s="261">
        <v>0</v>
      </c>
      <c r="AJ165" s="261">
        <v>300000</v>
      </c>
      <c r="AK165" s="261">
        <v>0</v>
      </c>
      <c r="AL165" s="261">
        <v>0</v>
      </c>
      <c r="AM165" s="261">
        <v>0</v>
      </c>
      <c r="AN165" s="261">
        <v>0</v>
      </c>
      <c r="AO165" s="261">
        <v>0</v>
      </c>
      <c r="AP165" s="261">
        <v>300000</v>
      </c>
      <c r="AQ165" s="261"/>
      <c r="AS165" s="261"/>
    </row>
    <row r="166" spans="1:45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 t="shared" ref="D166:R166" si="92">SUM(D167:D171)</f>
        <v>0</v>
      </c>
      <c r="E166" s="9">
        <f t="shared" si="92"/>
        <v>0</v>
      </c>
      <c r="F166" s="9">
        <f t="shared" si="92"/>
        <v>0</v>
      </c>
      <c r="G166" s="9">
        <f t="shared" si="92"/>
        <v>448073768</v>
      </c>
      <c r="H166" s="9">
        <f t="shared" si="92"/>
        <v>0</v>
      </c>
      <c r="I166" s="9">
        <f t="shared" si="92"/>
        <v>169822010</v>
      </c>
      <c r="J166" s="9">
        <f t="shared" si="79"/>
        <v>278251758</v>
      </c>
      <c r="K166" s="9">
        <f t="shared" si="92"/>
        <v>4787536</v>
      </c>
      <c r="L166" s="9">
        <f t="shared" si="92"/>
        <v>74394282</v>
      </c>
      <c r="M166" s="9">
        <f t="shared" si="92"/>
        <v>95427728</v>
      </c>
      <c r="N166" s="9">
        <f t="shared" si="92"/>
        <v>59784965</v>
      </c>
      <c r="O166" s="9">
        <f t="shared" si="92"/>
        <v>248414235</v>
      </c>
      <c r="P166" s="9">
        <f t="shared" si="92"/>
        <v>78592225</v>
      </c>
      <c r="Q166" s="9">
        <f t="shared" si="81"/>
        <v>199659533</v>
      </c>
      <c r="R166" s="9">
        <f t="shared" si="92"/>
        <v>74394282</v>
      </c>
      <c r="T166" s="183" t="s">
        <v>291</v>
      </c>
      <c r="U166" s="259" t="s">
        <v>292</v>
      </c>
      <c r="V166" s="261">
        <v>448073768</v>
      </c>
      <c r="W166" s="261">
        <v>0</v>
      </c>
      <c r="X166" s="261">
        <v>0</v>
      </c>
      <c r="Y166" s="261">
        <v>0</v>
      </c>
      <c r="Z166" s="261">
        <v>448073768</v>
      </c>
      <c r="AA166" s="261">
        <v>0</v>
      </c>
      <c r="AB166" s="261">
        <v>169822010</v>
      </c>
      <c r="AC166" s="261">
        <v>278251758</v>
      </c>
      <c r="AD166" s="261">
        <v>4787536</v>
      </c>
      <c r="AE166" s="261">
        <v>74394282</v>
      </c>
      <c r="AF166" s="261">
        <v>95427728</v>
      </c>
      <c r="AG166" s="261">
        <v>59784965</v>
      </c>
      <c r="AH166" s="261">
        <v>248414235</v>
      </c>
      <c r="AI166" s="261">
        <v>78592225</v>
      </c>
      <c r="AJ166" s="261">
        <v>199659533</v>
      </c>
      <c r="AK166" s="261">
        <v>0</v>
      </c>
      <c r="AL166" s="261">
        <v>59784965</v>
      </c>
      <c r="AM166" s="261">
        <v>248414235</v>
      </c>
      <c r="AN166" s="261">
        <v>248414235</v>
      </c>
      <c r="AO166" s="261">
        <v>78592225</v>
      </c>
      <c r="AP166" s="261">
        <v>199659533</v>
      </c>
      <c r="AQ166" s="9"/>
      <c r="AS166" s="9"/>
    </row>
    <row r="167" spans="1:45" x14ac:dyDescent="0.25">
      <c r="A167" s="2" t="s">
        <v>293</v>
      </c>
      <c r="B167" s="259" t="s">
        <v>294</v>
      </c>
      <c r="C167" s="261">
        <v>171000000</v>
      </c>
      <c r="D167" s="261">
        <v>0</v>
      </c>
      <c r="E167" s="261">
        <v>0</v>
      </c>
      <c r="F167" s="261">
        <v>0</v>
      </c>
      <c r="G167" s="261">
        <f>+C167+D167-E167+F167</f>
        <v>171000000</v>
      </c>
      <c r="H167" s="261">
        <v>0</v>
      </c>
      <c r="I167" s="261">
        <v>4697740</v>
      </c>
      <c r="J167" s="261">
        <f t="shared" si="79"/>
        <v>166302260</v>
      </c>
      <c r="K167" s="261">
        <v>0</v>
      </c>
      <c r="L167" s="261">
        <v>0</v>
      </c>
      <c r="M167" s="261">
        <f t="shared" si="86"/>
        <v>4697740</v>
      </c>
      <c r="N167" s="261">
        <v>59784965</v>
      </c>
      <c r="O167" s="261">
        <v>76574965</v>
      </c>
      <c r="P167" s="261">
        <f t="shared" si="80"/>
        <v>71877225</v>
      </c>
      <c r="Q167" s="177">
        <f t="shared" si="81"/>
        <v>94425035</v>
      </c>
      <c r="R167" s="261">
        <f t="shared" si="82"/>
        <v>0</v>
      </c>
      <c r="T167" s="183" t="s">
        <v>293</v>
      </c>
      <c r="U167" s="259" t="s">
        <v>294</v>
      </c>
      <c r="V167" s="261">
        <v>171000000</v>
      </c>
      <c r="W167" s="261">
        <v>0</v>
      </c>
      <c r="X167" s="261">
        <v>0</v>
      </c>
      <c r="Y167" s="261">
        <v>0</v>
      </c>
      <c r="Z167" s="261">
        <v>171000000</v>
      </c>
      <c r="AA167" s="261">
        <v>0</v>
      </c>
      <c r="AB167" s="261">
        <v>4697740</v>
      </c>
      <c r="AC167" s="261">
        <v>166302260</v>
      </c>
      <c r="AD167" s="261">
        <v>0</v>
      </c>
      <c r="AE167" s="261">
        <v>0</v>
      </c>
      <c r="AF167" s="261">
        <v>4697740</v>
      </c>
      <c r="AG167" s="261">
        <v>59784965</v>
      </c>
      <c r="AH167" s="261">
        <v>76574965</v>
      </c>
      <c r="AI167" s="261">
        <v>71877225</v>
      </c>
      <c r="AJ167" s="261">
        <v>94425035</v>
      </c>
      <c r="AK167" s="261">
        <v>0</v>
      </c>
      <c r="AL167" s="261">
        <v>59784965</v>
      </c>
      <c r="AM167" s="261">
        <v>76574965</v>
      </c>
      <c r="AN167" s="261">
        <v>76574965</v>
      </c>
      <c r="AO167" s="261">
        <v>71877225</v>
      </c>
      <c r="AP167" s="261">
        <v>94425035</v>
      </c>
      <c r="AQ167" s="261"/>
      <c r="AS167" s="261"/>
    </row>
    <row r="168" spans="1:45" x14ac:dyDescent="0.25">
      <c r="A168" s="2" t="s">
        <v>295</v>
      </c>
      <c r="B168" s="259" t="s">
        <v>296</v>
      </c>
      <c r="C168" s="261">
        <v>50773768</v>
      </c>
      <c r="D168" s="261">
        <v>0</v>
      </c>
      <c r="E168" s="261">
        <v>0</v>
      </c>
      <c r="F168" s="261">
        <v>0</v>
      </c>
      <c r="G168" s="261">
        <f>+C168+D168-E168+F168</f>
        <v>50773768</v>
      </c>
      <c r="H168" s="261">
        <v>0</v>
      </c>
      <c r="I168" s="261">
        <v>15124270</v>
      </c>
      <c r="J168" s="261">
        <f t="shared" si="79"/>
        <v>35649498</v>
      </c>
      <c r="K168" s="261">
        <v>0</v>
      </c>
      <c r="L168" s="261">
        <v>8647270</v>
      </c>
      <c r="M168" s="261">
        <f t="shared" si="86"/>
        <v>6477000</v>
      </c>
      <c r="N168" s="261">
        <v>0</v>
      </c>
      <c r="O168" s="261">
        <v>21839270</v>
      </c>
      <c r="P168" s="261">
        <f t="shared" si="80"/>
        <v>6715000</v>
      </c>
      <c r="Q168" s="177">
        <f t="shared" si="81"/>
        <v>28934498</v>
      </c>
      <c r="R168" s="261">
        <f t="shared" si="82"/>
        <v>8647270</v>
      </c>
      <c r="T168" s="183" t="s">
        <v>295</v>
      </c>
      <c r="U168" s="259" t="s">
        <v>296</v>
      </c>
      <c r="V168" s="261">
        <v>50773768</v>
      </c>
      <c r="W168" s="261">
        <v>0</v>
      </c>
      <c r="X168" s="261">
        <v>0</v>
      </c>
      <c r="Y168" s="261">
        <v>0</v>
      </c>
      <c r="Z168" s="261">
        <v>50773768</v>
      </c>
      <c r="AA168" s="261">
        <v>0</v>
      </c>
      <c r="AB168" s="261">
        <v>15124270</v>
      </c>
      <c r="AC168" s="261">
        <v>35649498</v>
      </c>
      <c r="AD168" s="261">
        <v>0</v>
      </c>
      <c r="AE168" s="261">
        <v>8647270</v>
      </c>
      <c r="AF168" s="261">
        <v>6477000</v>
      </c>
      <c r="AG168" s="261">
        <v>0</v>
      </c>
      <c r="AH168" s="261">
        <v>21839270</v>
      </c>
      <c r="AI168" s="261">
        <v>6715000</v>
      </c>
      <c r="AJ168" s="261">
        <v>28934498</v>
      </c>
      <c r="AK168" s="261">
        <v>0</v>
      </c>
      <c r="AL168" s="261">
        <v>0</v>
      </c>
      <c r="AM168" s="261">
        <v>21839270</v>
      </c>
      <c r="AN168" s="261">
        <v>21839270</v>
      </c>
      <c r="AO168" s="261">
        <v>6715000</v>
      </c>
      <c r="AP168" s="261">
        <v>28934498</v>
      </c>
      <c r="AQ168" s="261"/>
      <c r="AS168" s="261"/>
    </row>
    <row r="169" spans="1:45" x14ac:dyDescent="0.25">
      <c r="A169" s="2" t="s">
        <v>297</v>
      </c>
      <c r="B169" s="259" t="s">
        <v>298</v>
      </c>
      <c r="C169" s="261">
        <v>11300000</v>
      </c>
      <c r="D169" s="261">
        <v>0</v>
      </c>
      <c r="E169" s="261">
        <v>0</v>
      </c>
      <c r="F169" s="261">
        <v>0</v>
      </c>
      <c r="G169" s="261">
        <f>+C169+D169-E169+F169</f>
        <v>11300000</v>
      </c>
      <c r="H169" s="261">
        <v>0</v>
      </c>
      <c r="I169" s="261">
        <v>0</v>
      </c>
      <c r="J169" s="261">
        <f t="shared" si="79"/>
        <v>11300000</v>
      </c>
      <c r="K169" s="261">
        <v>0</v>
      </c>
      <c r="L169" s="261">
        <v>0</v>
      </c>
      <c r="M169" s="261">
        <f t="shared" si="86"/>
        <v>0</v>
      </c>
      <c r="N169" s="261">
        <v>0</v>
      </c>
      <c r="O169" s="261">
        <v>0</v>
      </c>
      <c r="P169" s="261">
        <f t="shared" si="80"/>
        <v>0</v>
      </c>
      <c r="Q169" s="177">
        <f t="shared" si="81"/>
        <v>11300000</v>
      </c>
      <c r="R169" s="261">
        <f t="shared" si="82"/>
        <v>0</v>
      </c>
      <c r="T169" s="183" t="s">
        <v>297</v>
      </c>
      <c r="U169" s="259" t="s">
        <v>298</v>
      </c>
      <c r="V169" s="261">
        <v>11300000</v>
      </c>
      <c r="W169" s="261">
        <v>0</v>
      </c>
      <c r="X169" s="261">
        <v>0</v>
      </c>
      <c r="Y169" s="261">
        <v>0</v>
      </c>
      <c r="Z169" s="261">
        <v>11300000</v>
      </c>
      <c r="AA169" s="261">
        <v>0</v>
      </c>
      <c r="AB169" s="261">
        <v>0</v>
      </c>
      <c r="AC169" s="261">
        <v>11300000</v>
      </c>
      <c r="AD169" s="261">
        <v>0</v>
      </c>
      <c r="AE169" s="261">
        <v>0</v>
      </c>
      <c r="AF169" s="261">
        <v>0</v>
      </c>
      <c r="AG169" s="261">
        <v>0</v>
      </c>
      <c r="AH169" s="261">
        <v>0</v>
      </c>
      <c r="AI169" s="261">
        <v>0</v>
      </c>
      <c r="AJ169" s="261">
        <v>11300000</v>
      </c>
      <c r="AK169" s="261">
        <v>0</v>
      </c>
      <c r="AL169" s="261">
        <v>0</v>
      </c>
      <c r="AM169" s="261">
        <v>0</v>
      </c>
      <c r="AN169" s="261">
        <v>0</v>
      </c>
      <c r="AO169" s="261">
        <v>0</v>
      </c>
      <c r="AP169" s="261">
        <v>11300000</v>
      </c>
      <c r="AQ169" s="261"/>
      <c r="AS169" s="261"/>
    </row>
    <row r="170" spans="1:45" x14ac:dyDescent="0.25">
      <c r="A170" s="2" t="s">
        <v>299</v>
      </c>
      <c r="B170" s="259" t="s">
        <v>300</v>
      </c>
      <c r="C170" s="261">
        <v>65000000</v>
      </c>
      <c r="D170" s="261">
        <v>0</v>
      </c>
      <c r="E170" s="261">
        <v>0</v>
      </c>
      <c r="F170" s="261">
        <v>0</v>
      </c>
      <c r="G170" s="261">
        <f>+C170+D170-E170+F170</f>
        <v>65000000</v>
      </c>
      <c r="H170" s="261">
        <v>0</v>
      </c>
      <c r="I170" s="261">
        <v>0</v>
      </c>
      <c r="J170" s="261">
        <f t="shared" si="79"/>
        <v>65000000</v>
      </c>
      <c r="K170" s="261">
        <v>0</v>
      </c>
      <c r="L170" s="261">
        <v>0</v>
      </c>
      <c r="M170" s="261">
        <f t="shared" si="86"/>
        <v>0</v>
      </c>
      <c r="N170" s="261">
        <v>0</v>
      </c>
      <c r="O170" s="261">
        <v>0</v>
      </c>
      <c r="P170" s="261">
        <f t="shared" si="80"/>
        <v>0</v>
      </c>
      <c r="Q170" s="177">
        <f t="shared" si="81"/>
        <v>65000000</v>
      </c>
      <c r="R170" s="261">
        <f t="shared" si="82"/>
        <v>0</v>
      </c>
      <c r="T170" s="183" t="s">
        <v>299</v>
      </c>
      <c r="U170" s="259" t="s">
        <v>300</v>
      </c>
      <c r="V170" s="261">
        <v>65000000</v>
      </c>
      <c r="W170" s="261">
        <v>0</v>
      </c>
      <c r="X170" s="261">
        <v>0</v>
      </c>
      <c r="Y170" s="261">
        <v>0</v>
      </c>
      <c r="Z170" s="261">
        <v>65000000</v>
      </c>
      <c r="AA170" s="261">
        <v>0</v>
      </c>
      <c r="AB170" s="261">
        <v>0</v>
      </c>
      <c r="AC170" s="261">
        <v>65000000</v>
      </c>
      <c r="AD170" s="261">
        <v>0</v>
      </c>
      <c r="AE170" s="261">
        <v>0</v>
      </c>
      <c r="AF170" s="261">
        <v>0</v>
      </c>
      <c r="AG170" s="261">
        <v>0</v>
      </c>
      <c r="AH170" s="261">
        <v>0</v>
      </c>
      <c r="AI170" s="261">
        <v>0</v>
      </c>
      <c r="AJ170" s="261">
        <v>65000000</v>
      </c>
      <c r="AK170" s="261">
        <v>0</v>
      </c>
      <c r="AL170" s="261">
        <v>0</v>
      </c>
      <c r="AM170" s="261">
        <v>0</v>
      </c>
      <c r="AN170" s="261">
        <v>0</v>
      </c>
      <c r="AO170" s="261">
        <v>0</v>
      </c>
      <c r="AP170" s="261">
        <v>65000000</v>
      </c>
      <c r="AQ170" s="261"/>
      <c r="AS170" s="261"/>
    </row>
    <row r="171" spans="1:45" x14ac:dyDescent="0.25">
      <c r="A171" s="2" t="s">
        <v>301</v>
      </c>
      <c r="B171" s="259" t="s">
        <v>302</v>
      </c>
      <c r="C171" s="261">
        <v>150000000</v>
      </c>
      <c r="D171" s="261">
        <v>0</v>
      </c>
      <c r="E171" s="261">
        <v>0</v>
      </c>
      <c r="F171" s="261">
        <v>0</v>
      </c>
      <c r="G171" s="261">
        <f>+C171+D171-E171+F171</f>
        <v>150000000</v>
      </c>
      <c r="H171" s="261">
        <v>0</v>
      </c>
      <c r="I171" s="261">
        <v>150000000</v>
      </c>
      <c r="J171" s="261">
        <f t="shared" si="79"/>
        <v>0</v>
      </c>
      <c r="K171" s="261">
        <v>4787536</v>
      </c>
      <c r="L171" s="261">
        <v>65747012</v>
      </c>
      <c r="M171" s="261">
        <f t="shared" si="86"/>
        <v>84252988</v>
      </c>
      <c r="N171" s="261">
        <v>0</v>
      </c>
      <c r="O171" s="261">
        <v>150000000</v>
      </c>
      <c r="P171" s="261">
        <f t="shared" si="80"/>
        <v>0</v>
      </c>
      <c r="Q171" s="177">
        <f t="shared" si="81"/>
        <v>0</v>
      </c>
      <c r="R171" s="261">
        <f t="shared" si="82"/>
        <v>65747012</v>
      </c>
      <c r="T171" s="183" t="s">
        <v>301</v>
      </c>
      <c r="U171" s="259" t="s">
        <v>302</v>
      </c>
      <c r="V171" s="261">
        <v>150000000</v>
      </c>
      <c r="W171" s="261">
        <v>0</v>
      </c>
      <c r="X171" s="261">
        <v>0</v>
      </c>
      <c r="Y171" s="261">
        <v>0</v>
      </c>
      <c r="Z171" s="261">
        <v>150000000</v>
      </c>
      <c r="AA171" s="261">
        <v>0</v>
      </c>
      <c r="AB171" s="261">
        <v>150000000</v>
      </c>
      <c r="AC171" s="261">
        <v>0</v>
      </c>
      <c r="AD171" s="261">
        <v>4787536</v>
      </c>
      <c r="AE171" s="261">
        <v>65747012</v>
      </c>
      <c r="AF171" s="261">
        <v>84252988</v>
      </c>
      <c r="AG171" s="261">
        <v>0</v>
      </c>
      <c r="AH171" s="261">
        <v>150000000</v>
      </c>
      <c r="AI171" s="261">
        <v>0</v>
      </c>
      <c r="AJ171" s="261">
        <v>0</v>
      </c>
      <c r="AK171" s="261">
        <v>0</v>
      </c>
      <c r="AL171" s="261">
        <v>0</v>
      </c>
      <c r="AM171" s="261">
        <v>150000000</v>
      </c>
      <c r="AN171" s="261">
        <v>150000000</v>
      </c>
      <c r="AO171" s="261">
        <v>0</v>
      </c>
      <c r="AP171" s="261">
        <v>0</v>
      </c>
      <c r="AQ171" s="261"/>
      <c r="AS171" s="261"/>
    </row>
    <row r="172" spans="1:45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 t="shared" ref="D172:R172" si="93">SUM(D173:D177)</f>
        <v>0</v>
      </c>
      <c r="E172" s="9">
        <f t="shared" si="93"/>
        <v>0</v>
      </c>
      <c r="F172" s="9">
        <f t="shared" si="93"/>
        <v>0</v>
      </c>
      <c r="G172" s="9">
        <f t="shared" si="93"/>
        <v>364245349</v>
      </c>
      <c r="H172" s="9">
        <f t="shared" si="93"/>
        <v>4392343</v>
      </c>
      <c r="I172" s="9">
        <f t="shared" si="93"/>
        <v>73776189</v>
      </c>
      <c r="J172" s="9">
        <f t="shared" si="79"/>
        <v>290469160</v>
      </c>
      <c r="K172" s="9">
        <f t="shared" si="93"/>
        <v>879321</v>
      </c>
      <c r="L172" s="9">
        <f t="shared" si="93"/>
        <v>50468453</v>
      </c>
      <c r="M172" s="9">
        <f t="shared" si="93"/>
        <v>23307736</v>
      </c>
      <c r="N172" s="9">
        <f t="shared" si="93"/>
        <v>2049200</v>
      </c>
      <c r="O172" s="9">
        <f t="shared" si="93"/>
        <v>140143123</v>
      </c>
      <c r="P172" s="9">
        <f t="shared" si="93"/>
        <v>66366934</v>
      </c>
      <c r="Q172" s="9">
        <f t="shared" si="81"/>
        <v>224102226</v>
      </c>
      <c r="R172" s="9">
        <f t="shared" si="93"/>
        <v>50468453</v>
      </c>
      <c r="T172" s="183" t="s">
        <v>303</v>
      </c>
      <c r="U172" s="259" t="s">
        <v>304</v>
      </c>
      <c r="V172" s="261">
        <v>364245349</v>
      </c>
      <c r="W172" s="261">
        <v>0</v>
      </c>
      <c r="X172" s="261">
        <v>0</v>
      </c>
      <c r="Y172" s="261">
        <v>0</v>
      </c>
      <c r="Z172" s="261">
        <v>364245349</v>
      </c>
      <c r="AA172" s="261">
        <v>4392343</v>
      </c>
      <c r="AB172" s="261">
        <v>73776189</v>
      </c>
      <c r="AC172" s="261">
        <v>290469160</v>
      </c>
      <c r="AD172" s="261">
        <v>879321</v>
      </c>
      <c r="AE172" s="261">
        <v>50468453</v>
      </c>
      <c r="AF172" s="261">
        <v>24807736</v>
      </c>
      <c r="AG172" s="261">
        <v>2049200</v>
      </c>
      <c r="AH172" s="261">
        <v>140143123</v>
      </c>
      <c r="AI172" s="261">
        <v>66366934</v>
      </c>
      <c r="AJ172" s="261">
        <v>224102226</v>
      </c>
      <c r="AK172" s="261">
        <v>4526246</v>
      </c>
      <c r="AL172" s="261">
        <v>2000000</v>
      </c>
      <c r="AM172" s="261">
        <v>149146415</v>
      </c>
      <c r="AN172" s="261">
        <v>144620169</v>
      </c>
      <c r="AO172" s="261">
        <v>75236323</v>
      </c>
      <c r="AP172" s="261">
        <v>219625180</v>
      </c>
      <c r="AQ172" s="9"/>
      <c r="AS172" s="9"/>
    </row>
    <row r="173" spans="1:45" x14ac:dyDescent="0.25">
      <c r="A173" s="2" t="s">
        <v>305</v>
      </c>
      <c r="B173" s="259" t="s">
        <v>306</v>
      </c>
      <c r="C173" s="261">
        <v>48400000</v>
      </c>
      <c r="D173" s="261">
        <v>0</v>
      </c>
      <c r="E173" s="261">
        <v>0</v>
      </c>
      <c r="F173" s="261">
        <v>0</v>
      </c>
      <c r="G173" s="261">
        <f>+C173+D173-E173+F173</f>
        <v>48400000</v>
      </c>
      <c r="H173" s="261">
        <v>4343143</v>
      </c>
      <c r="I173" s="261">
        <v>6614951</v>
      </c>
      <c r="J173" s="261">
        <f t="shared" si="79"/>
        <v>41785049</v>
      </c>
      <c r="K173" s="261">
        <v>0</v>
      </c>
      <c r="L173" s="261">
        <v>271808</v>
      </c>
      <c r="M173" s="261">
        <f t="shared" si="86"/>
        <v>6343143</v>
      </c>
      <c r="N173" s="261">
        <v>1000000</v>
      </c>
      <c r="O173" s="261">
        <v>4307608</v>
      </c>
      <c r="P173" s="261">
        <f t="shared" si="80"/>
        <v>-2307343</v>
      </c>
      <c r="Q173" s="177">
        <f t="shared" si="81"/>
        <v>44092392</v>
      </c>
      <c r="R173" s="261">
        <f t="shared" si="82"/>
        <v>271808</v>
      </c>
      <c r="T173" s="183" t="s">
        <v>305</v>
      </c>
      <c r="U173" s="259" t="s">
        <v>306</v>
      </c>
      <c r="V173" s="261">
        <v>48400000</v>
      </c>
      <c r="W173" s="261">
        <v>0</v>
      </c>
      <c r="X173" s="261">
        <v>0</v>
      </c>
      <c r="Y173" s="261">
        <v>0</v>
      </c>
      <c r="Z173" s="261">
        <v>48400000</v>
      </c>
      <c r="AA173" s="261">
        <v>4343143</v>
      </c>
      <c r="AB173" s="261">
        <v>6614951</v>
      </c>
      <c r="AC173" s="261">
        <v>41785049</v>
      </c>
      <c r="AD173" s="261">
        <v>0</v>
      </c>
      <c r="AE173" s="261">
        <v>271808</v>
      </c>
      <c r="AF173" s="261">
        <v>6343143</v>
      </c>
      <c r="AG173" s="261">
        <v>1000000</v>
      </c>
      <c r="AH173" s="261">
        <v>4307608</v>
      </c>
      <c r="AI173" s="261">
        <v>-2307343</v>
      </c>
      <c r="AJ173" s="261">
        <v>44092392</v>
      </c>
      <c r="AK173" s="261">
        <v>4526246</v>
      </c>
      <c r="AL173" s="261">
        <v>1000000</v>
      </c>
      <c r="AM173" s="261">
        <v>13360100</v>
      </c>
      <c r="AN173" s="261">
        <v>8833854</v>
      </c>
      <c r="AO173" s="261">
        <v>6562046</v>
      </c>
      <c r="AP173" s="261">
        <v>39566146</v>
      </c>
      <c r="AQ173" s="261"/>
      <c r="AS173" s="261"/>
    </row>
    <row r="174" spans="1:45" x14ac:dyDescent="0.25">
      <c r="A174" s="2" t="s">
        <v>307</v>
      </c>
      <c r="B174" s="259" t="s">
        <v>308</v>
      </c>
      <c r="C174" s="261">
        <v>244816000</v>
      </c>
      <c r="D174" s="261">
        <v>0</v>
      </c>
      <c r="E174" s="261">
        <v>0</v>
      </c>
      <c r="F174" s="261">
        <v>0</v>
      </c>
      <c r="G174" s="261">
        <f>+C174+D174-E174+F174</f>
        <v>244816000</v>
      </c>
      <c r="H174" s="261">
        <v>0</v>
      </c>
      <c r="I174" s="261">
        <v>63912038</v>
      </c>
      <c r="J174" s="261">
        <f t="shared" si="79"/>
        <v>180903962</v>
      </c>
      <c r="K174" s="261">
        <v>879321</v>
      </c>
      <c r="L174" s="261">
        <v>46996645</v>
      </c>
      <c r="M174" s="261">
        <f t="shared" si="86"/>
        <v>16915393</v>
      </c>
      <c r="N174" s="261">
        <v>500000</v>
      </c>
      <c r="O174" s="261">
        <v>132086315</v>
      </c>
      <c r="P174" s="261">
        <f t="shared" si="80"/>
        <v>68174277</v>
      </c>
      <c r="Q174" s="177">
        <f t="shared" si="81"/>
        <v>112729685</v>
      </c>
      <c r="R174" s="261">
        <f t="shared" si="82"/>
        <v>46996645</v>
      </c>
      <c r="T174" s="183" t="s">
        <v>307</v>
      </c>
      <c r="U174" s="259" t="s">
        <v>308</v>
      </c>
      <c r="V174" s="261">
        <v>244816000</v>
      </c>
      <c r="W174" s="261">
        <v>0</v>
      </c>
      <c r="X174" s="261">
        <v>0</v>
      </c>
      <c r="Y174" s="261">
        <v>0</v>
      </c>
      <c r="Z174" s="261">
        <v>244816000</v>
      </c>
      <c r="AA174" s="261">
        <v>0</v>
      </c>
      <c r="AB174" s="261">
        <v>63912038</v>
      </c>
      <c r="AC174" s="261">
        <v>180903962</v>
      </c>
      <c r="AD174" s="261">
        <v>879321</v>
      </c>
      <c r="AE174" s="261">
        <v>46996645</v>
      </c>
      <c r="AF174" s="261">
        <v>16915393</v>
      </c>
      <c r="AG174" s="261">
        <v>500000</v>
      </c>
      <c r="AH174" s="261">
        <v>132086315</v>
      </c>
      <c r="AI174" s="261">
        <v>68174277</v>
      </c>
      <c r="AJ174" s="261">
        <v>112729685</v>
      </c>
      <c r="AK174" s="261">
        <v>0</v>
      </c>
      <c r="AL174" s="261">
        <v>500000</v>
      </c>
      <c r="AM174" s="261">
        <v>132086315</v>
      </c>
      <c r="AN174" s="261">
        <v>132086315</v>
      </c>
      <c r="AO174" s="261">
        <v>68174277</v>
      </c>
      <c r="AP174" s="261">
        <v>112729685</v>
      </c>
      <c r="AQ174" s="261"/>
      <c r="AS174" s="261"/>
    </row>
    <row r="175" spans="1:45" x14ac:dyDescent="0.25">
      <c r="A175" s="2" t="s">
        <v>309</v>
      </c>
      <c r="B175" s="259" t="s">
        <v>310</v>
      </c>
      <c r="C175" s="261">
        <v>59329349</v>
      </c>
      <c r="D175" s="261">
        <v>0</v>
      </c>
      <c r="E175" s="261">
        <v>0</v>
      </c>
      <c r="F175" s="261">
        <v>0</v>
      </c>
      <c r="G175" s="261">
        <f>+C175+D175-E175+F175</f>
        <v>59329349</v>
      </c>
      <c r="H175" s="261">
        <v>49200</v>
      </c>
      <c r="I175" s="261">
        <v>3249200</v>
      </c>
      <c r="J175" s="261">
        <f t="shared" si="79"/>
        <v>56080149</v>
      </c>
      <c r="K175" s="261">
        <v>0</v>
      </c>
      <c r="L175" s="261">
        <v>3200000</v>
      </c>
      <c r="M175" s="261">
        <f t="shared" si="86"/>
        <v>49200</v>
      </c>
      <c r="N175" s="261">
        <v>549200</v>
      </c>
      <c r="O175" s="261">
        <v>3749200</v>
      </c>
      <c r="P175" s="261">
        <f t="shared" si="80"/>
        <v>500000</v>
      </c>
      <c r="Q175" s="177">
        <f t="shared" si="81"/>
        <v>55580149</v>
      </c>
      <c r="R175" s="261">
        <f t="shared" si="82"/>
        <v>3200000</v>
      </c>
      <c r="T175" s="183" t="s">
        <v>309</v>
      </c>
      <c r="U175" s="259" t="s">
        <v>310</v>
      </c>
      <c r="V175" s="261">
        <v>59329349</v>
      </c>
      <c r="W175" s="261">
        <v>0</v>
      </c>
      <c r="X175" s="261">
        <v>0</v>
      </c>
      <c r="Y175" s="261">
        <v>0</v>
      </c>
      <c r="Z175" s="261">
        <v>59329349</v>
      </c>
      <c r="AA175" s="261">
        <v>49200</v>
      </c>
      <c r="AB175" s="261">
        <v>3249200</v>
      </c>
      <c r="AC175" s="261">
        <v>56080149</v>
      </c>
      <c r="AD175" s="261">
        <v>0</v>
      </c>
      <c r="AE175" s="261">
        <v>3200000</v>
      </c>
      <c r="AF175" s="261">
        <v>1549200</v>
      </c>
      <c r="AG175" s="261">
        <v>549200</v>
      </c>
      <c r="AH175" s="261">
        <v>3749200</v>
      </c>
      <c r="AI175" s="261">
        <v>500000</v>
      </c>
      <c r="AJ175" s="261">
        <v>55580149</v>
      </c>
      <c r="AK175" s="261">
        <v>0</v>
      </c>
      <c r="AL175" s="261">
        <v>500000</v>
      </c>
      <c r="AM175" s="261">
        <v>3700000</v>
      </c>
      <c r="AN175" s="261">
        <v>3700000</v>
      </c>
      <c r="AO175" s="261">
        <v>500000</v>
      </c>
      <c r="AP175" s="261">
        <v>55629349</v>
      </c>
      <c r="AQ175" s="261"/>
      <c r="AS175" s="261"/>
    </row>
    <row r="176" spans="1:45" x14ac:dyDescent="0.25">
      <c r="A176" s="2" t="s">
        <v>311</v>
      </c>
      <c r="B176" s="259" t="s">
        <v>312</v>
      </c>
      <c r="C176" s="261">
        <v>1700000</v>
      </c>
      <c r="D176" s="261">
        <v>0</v>
      </c>
      <c r="E176" s="261">
        <v>0</v>
      </c>
      <c r="F176" s="261">
        <v>0</v>
      </c>
      <c r="G176" s="261">
        <f>+C176+D176-E176+F176</f>
        <v>1700000</v>
      </c>
      <c r="H176" s="261">
        <v>0</v>
      </c>
      <c r="I176" s="261">
        <v>0</v>
      </c>
      <c r="J176" s="261">
        <f t="shared" si="79"/>
        <v>1700000</v>
      </c>
      <c r="K176" s="261">
        <v>0</v>
      </c>
      <c r="L176" s="261">
        <v>0</v>
      </c>
      <c r="M176" s="261">
        <f t="shared" si="86"/>
        <v>0</v>
      </c>
      <c r="N176" s="261">
        <v>0</v>
      </c>
      <c r="O176" s="261">
        <v>0</v>
      </c>
      <c r="P176" s="261">
        <f t="shared" si="80"/>
        <v>0</v>
      </c>
      <c r="Q176" s="177">
        <f t="shared" si="81"/>
        <v>1700000</v>
      </c>
      <c r="R176" s="261">
        <f t="shared" si="82"/>
        <v>0</v>
      </c>
      <c r="T176" s="183" t="s">
        <v>311</v>
      </c>
      <c r="U176" s="259" t="s">
        <v>312</v>
      </c>
      <c r="V176" s="261">
        <v>1700000</v>
      </c>
      <c r="W176" s="261">
        <v>0</v>
      </c>
      <c r="X176" s="261">
        <v>0</v>
      </c>
      <c r="Y176" s="261">
        <v>0</v>
      </c>
      <c r="Z176" s="261">
        <v>1700000</v>
      </c>
      <c r="AA176" s="261">
        <v>0</v>
      </c>
      <c r="AB176" s="261">
        <v>0</v>
      </c>
      <c r="AC176" s="261">
        <v>1700000</v>
      </c>
      <c r="AD176" s="261">
        <v>0</v>
      </c>
      <c r="AE176" s="261">
        <v>0</v>
      </c>
      <c r="AF176" s="261">
        <v>0</v>
      </c>
      <c r="AG176" s="261">
        <v>0</v>
      </c>
      <c r="AH176" s="261">
        <v>0</v>
      </c>
      <c r="AI176" s="261">
        <v>0</v>
      </c>
      <c r="AJ176" s="261">
        <v>1700000</v>
      </c>
      <c r="AK176" s="261">
        <v>0</v>
      </c>
      <c r="AL176" s="261">
        <v>0</v>
      </c>
      <c r="AM176" s="261">
        <v>0</v>
      </c>
      <c r="AN176" s="261">
        <v>0</v>
      </c>
      <c r="AO176" s="261">
        <v>0</v>
      </c>
      <c r="AP176" s="261">
        <v>1700000</v>
      </c>
      <c r="AQ176" s="261"/>
      <c r="AS176" s="261"/>
    </row>
    <row r="177" spans="1:45" x14ac:dyDescent="0.25">
      <c r="A177" s="2" t="s">
        <v>313</v>
      </c>
      <c r="B177" s="259" t="s">
        <v>314</v>
      </c>
      <c r="C177" s="261">
        <v>10000000</v>
      </c>
      <c r="D177" s="261">
        <v>0</v>
      </c>
      <c r="E177" s="261">
        <v>0</v>
      </c>
      <c r="F177" s="261">
        <v>0</v>
      </c>
      <c r="G177" s="261">
        <f>+C177+D177-E177+F177</f>
        <v>10000000</v>
      </c>
      <c r="H177" s="261">
        <v>0</v>
      </c>
      <c r="I177" s="261">
        <v>0</v>
      </c>
      <c r="J177" s="261">
        <f t="shared" si="79"/>
        <v>10000000</v>
      </c>
      <c r="K177" s="261">
        <v>0</v>
      </c>
      <c r="L177" s="261">
        <v>0</v>
      </c>
      <c r="M177" s="261">
        <f t="shared" si="86"/>
        <v>0</v>
      </c>
      <c r="N177" s="261">
        <v>0</v>
      </c>
      <c r="O177" s="261">
        <v>0</v>
      </c>
      <c r="P177" s="261">
        <f t="shared" si="80"/>
        <v>0</v>
      </c>
      <c r="Q177" s="177">
        <f t="shared" si="81"/>
        <v>10000000</v>
      </c>
      <c r="R177" s="261">
        <f t="shared" si="82"/>
        <v>0</v>
      </c>
      <c r="T177" s="183" t="s">
        <v>313</v>
      </c>
      <c r="U177" s="259" t="s">
        <v>314</v>
      </c>
      <c r="V177" s="261">
        <v>10000000</v>
      </c>
      <c r="W177" s="261">
        <v>0</v>
      </c>
      <c r="X177" s="261">
        <v>0</v>
      </c>
      <c r="Y177" s="261">
        <v>0</v>
      </c>
      <c r="Z177" s="261">
        <v>10000000</v>
      </c>
      <c r="AA177" s="261">
        <v>0</v>
      </c>
      <c r="AB177" s="261">
        <v>0</v>
      </c>
      <c r="AC177" s="261">
        <v>10000000</v>
      </c>
      <c r="AD177" s="261">
        <v>0</v>
      </c>
      <c r="AE177" s="261">
        <v>0</v>
      </c>
      <c r="AF177" s="261">
        <v>0</v>
      </c>
      <c r="AG177" s="261">
        <v>0</v>
      </c>
      <c r="AH177" s="261">
        <v>0</v>
      </c>
      <c r="AI177" s="261">
        <v>0</v>
      </c>
      <c r="AJ177" s="261">
        <v>10000000</v>
      </c>
      <c r="AK177" s="261">
        <v>0</v>
      </c>
      <c r="AL177" s="261">
        <v>0</v>
      </c>
      <c r="AM177" s="261">
        <v>0</v>
      </c>
      <c r="AN177" s="261">
        <v>0</v>
      </c>
      <c r="AO177" s="261">
        <v>0</v>
      </c>
      <c r="AP177" s="261">
        <v>10000000</v>
      </c>
      <c r="AQ177" s="261"/>
      <c r="AS177" s="261"/>
    </row>
    <row r="178" spans="1:45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 t="shared" ref="D178:R178" si="94">SUM(D179:D182)</f>
        <v>0</v>
      </c>
      <c r="E178" s="9">
        <f t="shared" si="94"/>
        <v>0</v>
      </c>
      <c r="F178" s="9">
        <f t="shared" si="94"/>
        <v>0</v>
      </c>
      <c r="G178" s="9">
        <f t="shared" si="94"/>
        <v>55200000</v>
      </c>
      <c r="H178" s="9">
        <f t="shared" si="94"/>
        <v>0</v>
      </c>
      <c r="I178" s="9">
        <f t="shared" si="94"/>
        <v>1534000</v>
      </c>
      <c r="J178" s="9">
        <f t="shared" si="79"/>
        <v>53666000</v>
      </c>
      <c r="K178" s="9">
        <f t="shared" si="94"/>
        <v>0</v>
      </c>
      <c r="L178" s="9">
        <f t="shared" si="94"/>
        <v>334000</v>
      </c>
      <c r="M178" s="9">
        <f t="shared" si="94"/>
        <v>1200000</v>
      </c>
      <c r="N178" s="9">
        <f t="shared" si="94"/>
        <v>1000000</v>
      </c>
      <c r="O178" s="9">
        <f t="shared" si="94"/>
        <v>2534000</v>
      </c>
      <c r="P178" s="9">
        <f t="shared" si="94"/>
        <v>1000000</v>
      </c>
      <c r="Q178" s="9">
        <f t="shared" si="81"/>
        <v>52666000</v>
      </c>
      <c r="R178" s="9">
        <f t="shared" si="94"/>
        <v>334000</v>
      </c>
      <c r="T178" s="183" t="s">
        <v>315</v>
      </c>
      <c r="U178" s="259" t="s">
        <v>316</v>
      </c>
      <c r="V178" s="261">
        <v>55200000</v>
      </c>
      <c r="W178" s="261">
        <v>0</v>
      </c>
      <c r="X178" s="261">
        <v>0</v>
      </c>
      <c r="Y178" s="261">
        <v>0</v>
      </c>
      <c r="Z178" s="261">
        <v>55200000</v>
      </c>
      <c r="AA178" s="261">
        <v>0</v>
      </c>
      <c r="AB178" s="261">
        <v>1534000</v>
      </c>
      <c r="AC178" s="261">
        <v>53666000</v>
      </c>
      <c r="AD178" s="261">
        <v>0</v>
      </c>
      <c r="AE178" s="261">
        <v>334000</v>
      </c>
      <c r="AF178" s="261">
        <v>1200000</v>
      </c>
      <c r="AG178" s="261">
        <v>1000000</v>
      </c>
      <c r="AH178" s="261">
        <v>2534000</v>
      </c>
      <c r="AI178" s="261">
        <v>1000000</v>
      </c>
      <c r="AJ178" s="261">
        <v>52666000</v>
      </c>
      <c r="AK178" s="261">
        <v>0</v>
      </c>
      <c r="AL178" s="261">
        <v>1000000</v>
      </c>
      <c r="AM178" s="261">
        <v>2534000</v>
      </c>
      <c r="AN178" s="261">
        <v>2534000</v>
      </c>
      <c r="AO178" s="261">
        <v>1000000</v>
      </c>
      <c r="AP178" s="261">
        <v>52666000</v>
      </c>
      <c r="AQ178" s="9"/>
      <c r="AS178" s="9"/>
    </row>
    <row r="179" spans="1:45" x14ac:dyDescent="0.25">
      <c r="A179" s="2" t="s">
        <v>317</v>
      </c>
      <c r="B179" s="259" t="s">
        <v>318</v>
      </c>
      <c r="C179" s="261">
        <v>4000000</v>
      </c>
      <c r="D179" s="261">
        <v>0</v>
      </c>
      <c r="E179" s="261">
        <v>0</v>
      </c>
      <c r="F179" s="261">
        <v>0</v>
      </c>
      <c r="G179" s="261">
        <f>+C179+D179-E179+F179</f>
        <v>4000000</v>
      </c>
      <c r="H179" s="261">
        <v>0</v>
      </c>
      <c r="I179" s="261">
        <v>0</v>
      </c>
      <c r="J179" s="261">
        <f t="shared" si="79"/>
        <v>4000000</v>
      </c>
      <c r="K179" s="261">
        <v>0</v>
      </c>
      <c r="L179" s="261">
        <v>0</v>
      </c>
      <c r="M179" s="261">
        <f t="shared" si="86"/>
        <v>0</v>
      </c>
      <c r="N179" s="261">
        <v>0</v>
      </c>
      <c r="O179" s="261">
        <v>0</v>
      </c>
      <c r="P179" s="261">
        <f t="shared" si="80"/>
        <v>0</v>
      </c>
      <c r="Q179" s="177">
        <f t="shared" si="81"/>
        <v>4000000</v>
      </c>
      <c r="R179" s="261">
        <f t="shared" si="82"/>
        <v>0</v>
      </c>
      <c r="T179" s="183" t="s">
        <v>317</v>
      </c>
      <c r="U179" s="259" t="s">
        <v>318</v>
      </c>
      <c r="V179" s="261">
        <v>4000000</v>
      </c>
      <c r="W179" s="261">
        <v>0</v>
      </c>
      <c r="X179" s="261">
        <v>0</v>
      </c>
      <c r="Y179" s="261">
        <v>0</v>
      </c>
      <c r="Z179" s="261">
        <v>4000000</v>
      </c>
      <c r="AA179" s="261">
        <v>0</v>
      </c>
      <c r="AB179" s="261">
        <v>0</v>
      </c>
      <c r="AC179" s="261">
        <v>4000000</v>
      </c>
      <c r="AD179" s="261">
        <v>0</v>
      </c>
      <c r="AE179" s="261">
        <v>0</v>
      </c>
      <c r="AF179" s="261">
        <v>0</v>
      </c>
      <c r="AG179" s="261">
        <v>0</v>
      </c>
      <c r="AH179" s="261">
        <v>0</v>
      </c>
      <c r="AI179" s="261">
        <v>0</v>
      </c>
      <c r="AJ179" s="261">
        <v>4000000</v>
      </c>
      <c r="AK179" s="261">
        <v>0</v>
      </c>
      <c r="AL179" s="261">
        <v>0</v>
      </c>
      <c r="AM179" s="261">
        <v>0</v>
      </c>
      <c r="AN179" s="261">
        <v>0</v>
      </c>
      <c r="AO179" s="261">
        <v>0</v>
      </c>
      <c r="AP179" s="261">
        <v>4000000</v>
      </c>
      <c r="AQ179" s="261"/>
      <c r="AS179" s="261"/>
    </row>
    <row r="180" spans="1:45" x14ac:dyDescent="0.25">
      <c r="A180" s="2" t="s">
        <v>319</v>
      </c>
      <c r="B180" s="259" t="s">
        <v>320</v>
      </c>
      <c r="C180" s="261">
        <v>2000000</v>
      </c>
      <c r="D180" s="261">
        <v>0</v>
      </c>
      <c r="E180" s="261">
        <v>0</v>
      </c>
      <c r="F180" s="261">
        <v>0</v>
      </c>
      <c r="G180" s="261">
        <f>+C180+D180-E180+F180</f>
        <v>2000000</v>
      </c>
      <c r="H180" s="261">
        <v>0</v>
      </c>
      <c r="I180" s="261">
        <v>0</v>
      </c>
      <c r="J180" s="261">
        <f t="shared" si="79"/>
        <v>2000000</v>
      </c>
      <c r="K180" s="261">
        <v>0</v>
      </c>
      <c r="L180" s="261">
        <v>0</v>
      </c>
      <c r="M180" s="261">
        <f t="shared" si="86"/>
        <v>0</v>
      </c>
      <c r="N180" s="261">
        <v>0</v>
      </c>
      <c r="O180" s="261">
        <v>0</v>
      </c>
      <c r="P180" s="261">
        <f t="shared" si="80"/>
        <v>0</v>
      </c>
      <c r="Q180" s="177">
        <f t="shared" si="81"/>
        <v>2000000</v>
      </c>
      <c r="R180" s="261">
        <f t="shared" si="82"/>
        <v>0</v>
      </c>
      <c r="T180" s="183" t="s">
        <v>319</v>
      </c>
      <c r="U180" s="259" t="s">
        <v>320</v>
      </c>
      <c r="V180" s="261">
        <v>2000000</v>
      </c>
      <c r="W180" s="261">
        <v>0</v>
      </c>
      <c r="X180" s="261">
        <v>0</v>
      </c>
      <c r="Y180" s="261">
        <v>0</v>
      </c>
      <c r="Z180" s="261">
        <v>2000000</v>
      </c>
      <c r="AA180" s="261">
        <v>0</v>
      </c>
      <c r="AB180" s="261">
        <v>0</v>
      </c>
      <c r="AC180" s="261">
        <v>2000000</v>
      </c>
      <c r="AD180" s="261">
        <v>0</v>
      </c>
      <c r="AE180" s="261">
        <v>0</v>
      </c>
      <c r="AF180" s="261">
        <v>0</v>
      </c>
      <c r="AG180" s="261">
        <v>0</v>
      </c>
      <c r="AH180" s="261">
        <v>0</v>
      </c>
      <c r="AI180" s="261">
        <v>0</v>
      </c>
      <c r="AJ180" s="261">
        <v>2000000</v>
      </c>
      <c r="AK180" s="261">
        <v>0</v>
      </c>
      <c r="AL180" s="261">
        <v>0</v>
      </c>
      <c r="AM180" s="261">
        <v>0</v>
      </c>
      <c r="AN180" s="261">
        <v>0</v>
      </c>
      <c r="AO180" s="261">
        <v>0</v>
      </c>
      <c r="AP180" s="261">
        <v>2000000</v>
      </c>
      <c r="AQ180" s="261"/>
      <c r="AS180" s="261"/>
    </row>
    <row r="181" spans="1:45" x14ac:dyDescent="0.25">
      <c r="A181" s="2" t="s">
        <v>321</v>
      </c>
      <c r="B181" s="259" t="s">
        <v>322</v>
      </c>
      <c r="C181" s="261">
        <v>24300000</v>
      </c>
      <c r="D181" s="261">
        <v>0</v>
      </c>
      <c r="E181" s="261">
        <v>0</v>
      </c>
      <c r="F181" s="261">
        <v>0</v>
      </c>
      <c r="G181" s="261">
        <f>+C181+D181-E181+F181</f>
        <v>24300000</v>
      </c>
      <c r="H181" s="261">
        <v>0</v>
      </c>
      <c r="I181" s="261">
        <v>1034000</v>
      </c>
      <c r="J181" s="261">
        <f t="shared" si="79"/>
        <v>23266000</v>
      </c>
      <c r="K181" s="261">
        <v>0</v>
      </c>
      <c r="L181" s="261">
        <v>334000</v>
      </c>
      <c r="M181" s="261">
        <f t="shared" si="86"/>
        <v>700000</v>
      </c>
      <c r="N181" s="261">
        <v>500000</v>
      </c>
      <c r="O181" s="261">
        <v>1534000</v>
      </c>
      <c r="P181" s="261">
        <f t="shared" si="80"/>
        <v>500000</v>
      </c>
      <c r="Q181" s="177">
        <f t="shared" si="81"/>
        <v>22766000</v>
      </c>
      <c r="R181" s="261">
        <f t="shared" si="82"/>
        <v>334000</v>
      </c>
      <c r="T181" s="183" t="s">
        <v>321</v>
      </c>
      <c r="U181" s="259" t="s">
        <v>322</v>
      </c>
      <c r="V181" s="261">
        <v>24300000</v>
      </c>
      <c r="W181" s="261">
        <v>0</v>
      </c>
      <c r="X181" s="261">
        <v>0</v>
      </c>
      <c r="Y181" s="261">
        <v>0</v>
      </c>
      <c r="Z181" s="261">
        <v>24300000</v>
      </c>
      <c r="AA181" s="261">
        <v>0</v>
      </c>
      <c r="AB181" s="261">
        <v>1034000</v>
      </c>
      <c r="AC181" s="261">
        <v>23266000</v>
      </c>
      <c r="AD181" s="261">
        <v>0</v>
      </c>
      <c r="AE181" s="261">
        <v>334000</v>
      </c>
      <c r="AF181" s="261">
        <v>700000</v>
      </c>
      <c r="AG181" s="261">
        <v>500000</v>
      </c>
      <c r="AH181" s="261">
        <v>1534000</v>
      </c>
      <c r="AI181" s="261">
        <v>500000</v>
      </c>
      <c r="AJ181" s="261">
        <v>22766000</v>
      </c>
      <c r="AK181" s="261">
        <v>0</v>
      </c>
      <c r="AL181" s="261">
        <v>500000</v>
      </c>
      <c r="AM181" s="261">
        <v>1534000</v>
      </c>
      <c r="AN181" s="261">
        <v>1534000</v>
      </c>
      <c r="AO181" s="261">
        <v>500000</v>
      </c>
      <c r="AP181" s="261">
        <v>22766000</v>
      </c>
      <c r="AQ181" s="261"/>
      <c r="AS181" s="261"/>
    </row>
    <row r="182" spans="1:45" x14ac:dyDescent="0.25">
      <c r="A182" s="2" t="s">
        <v>323</v>
      </c>
      <c r="B182" s="259" t="s">
        <v>324</v>
      </c>
      <c r="C182" s="261">
        <v>24900000</v>
      </c>
      <c r="D182" s="261">
        <v>0</v>
      </c>
      <c r="E182" s="261">
        <v>0</v>
      </c>
      <c r="F182" s="261">
        <v>0</v>
      </c>
      <c r="G182" s="261">
        <f>+C182+D182-E182+F182</f>
        <v>24900000</v>
      </c>
      <c r="H182" s="261">
        <v>0</v>
      </c>
      <c r="I182" s="261">
        <v>500000</v>
      </c>
      <c r="J182" s="261">
        <f t="shared" si="79"/>
        <v>24400000</v>
      </c>
      <c r="K182" s="261">
        <v>0</v>
      </c>
      <c r="L182" s="261">
        <v>0</v>
      </c>
      <c r="M182" s="261">
        <f t="shared" si="86"/>
        <v>500000</v>
      </c>
      <c r="N182" s="261">
        <v>500000</v>
      </c>
      <c r="O182" s="261">
        <v>1000000</v>
      </c>
      <c r="P182" s="261">
        <f t="shared" si="80"/>
        <v>500000</v>
      </c>
      <c r="Q182" s="177">
        <f t="shared" si="81"/>
        <v>23900000</v>
      </c>
      <c r="R182" s="261">
        <f t="shared" si="82"/>
        <v>0</v>
      </c>
      <c r="T182" s="183" t="s">
        <v>323</v>
      </c>
      <c r="U182" s="259" t="s">
        <v>324</v>
      </c>
      <c r="V182" s="261">
        <v>24900000</v>
      </c>
      <c r="W182" s="261">
        <v>0</v>
      </c>
      <c r="X182" s="261">
        <v>0</v>
      </c>
      <c r="Y182" s="261">
        <v>0</v>
      </c>
      <c r="Z182" s="261">
        <v>24900000</v>
      </c>
      <c r="AA182" s="261">
        <v>0</v>
      </c>
      <c r="AB182" s="261">
        <v>500000</v>
      </c>
      <c r="AC182" s="261">
        <v>24400000</v>
      </c>
      <c r="AD182" s="261">
        <v>0</v>
      </c>
      <c r="AE182" s="261">
        <v>0</v>
      </c>
      <c r="AF182" s="261">
        <v>500000</v>
      </c>
      <c r="AG182" s="261">
        <v>500000</v>
      </c>
      <c r="AH182" s="261">
        <v>1000000</v>
      </c>
      <c r="AI182" s="261">
        <v>500000</v>
      </c>
      <c r="AJ182" s="261">
        <v>23900000</v>
      </c>
      <c r="AK182" s="261">
        <v>0</v>
      </c>
      <c r="AL182" s="261">
        <v>500000</v>
      </c>
      <c r="AM182" s="261">
        <v>1000000</v>
      </c>
      <c r="AN182" s="261">
        <v>1000000</v>
      </c>
      <c r="AO182" s="261">
        <v>500000</v>
      </c>
      <c r="AP182" s="261">
        <v>23900000</v>
      </c>
      <c r="AQ182" s="261"/>
      <c r="AS182" s="261"/>
    </row>
    <row r="183" spans="1:45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 t="shared" ref="D183:R183" si="95">SUM(D184:D187)</f>
        <v>0</v>
      </c>
      <c r="E183" s="9">
        <f t="shared" si="95"/>
        <v>0</v>
      </c>
      <c r="F183" s="9">
        <f t="shared" si="95"/>
        <v>0</v>
      </c>
      <c r="G183" s="9">
        <f t="shared" si="95"/>
        <v>98400000</v>
      </c>
      <c r="H183" s="9">
        <f t="shared" si="95"/>
        <v>0</v>
      </c>
      <c r="I183" s="9">
        <f t="shared" si="95"/>
        <v>3399562.63</v>
      </c>
      <c r="J183" s="9">
        <f t="shared" si="79"/>
        <v>95000437.370000005</v>
      </c>
      <c r="K183" s="9">
        <f t="shared" si="95"/>
        <v>0</v>
      </c>
      <c r="L183" s="9">
        <f t="shared" si="95"/>
        <v>899562.63</v>
      </c>
      <c r="M183" s="9">
        <f t="shared" si="95"/>
        <v>2500000</v>
      </c>
      <c r="N183" s="9">
        <f t="shared" si="95"/>
        <v>2500000</v>
      </c>
      <c r="O183" s="9">
        <f t="shared" si="95"/>
        <v>7556562.6299999999</v>
      </c>
      <c r="P183" s="9">
        <f t="shared" si="95"/>
        <v>4157000</v>
      </c>
      <c r="Q183" s="9">
        <f t="shared" si="81"/>
        <v>90843437.370000005</v>
      </c>
      <c r="R183" s="9">
        <f t="shared" si="95"/>
        <v>899562.63</v>
      </c>
      <c r="T183" s="183" t="s">
        <v>325</v>
      </c>
      <c r="U183" s="259" t="s">
        <v>326</v>
      </c>
      <c r="V183" s="261">
        <v>98400000</v>
      </c>
      <c r="W183" s="261">
        <v>0</v>
      </c>
      <c r="X183" s="261">
        <v>0</v>
      </c>
      <c r="Y183" s="261">
        <v>0</v>
      </c>
      <c r="Z183" s="261">
        <v>98400000</v>
      </c>
      <c r="AA183" s="261">
        <v>0</v>
      </c>
      <c r="AB183" s="261">
        <v>3399562.63</v>
      </c>
      <c r="AC183" s="261">
        <v>95000437.370000005</v>
      </c>
      <c r="AD183" s="261">
        <v>0</v>
      </c>
      <c r="AE183" s="261">
        <v>899562.63</v>
      </c>
      <c r="AF183" s="261">
        <v>2500000</v>
      </c>
      <c r="AG183" s="261">
        <v>2500000</v>
      </c>
      <c r="AH183" s="261">
        <v>7556562.6299999999</v>
      </c>
      <c r="AI183" s="261">
        <v>4157000</v>
      </c>
      <c r="AJ183" s="261">
        <v>90843437.370000005</v>
      </c>
      <c r="AK183" s="261">
        <v>0</v>
      </c>
      <c r="AL183" s="261">
        <v>2500000</v>
      </c>
      <c r="AM183" s="261">
        <v>7556562.6299999999</v>
      </c>
      <c r="AN183" s="261">
        <v>7556562.6299999999</v>
      </c>
      <c r="AO183" s="261">
        <v>4157000</v>
      </c>
      <c r="AP183" s="261">
        <v>90843437.370000005</v>
      </c>
      <c r="AQ183" s="9"/>
      <c r="AS183" s="9"/>
    </row>
    <row r="184" spans="1:45" x14ac:dyDescent="0.25">
      <c r="A184" s="2" t="s">
        <v>327</v>
      </c>
      <c r="B184" s="259" t="s">
        <v>328</v>
      </c>
      <c r="C184" s="261">
        <v>41400000</v>
      </c>
      <c r="D184" s="261">
        <v>0</v>
      </c>
      <c r="E184" s="261">
        <v>0</v>
      </c>
      <c r="F184" s="261">
        <v>0</v>
      </c>
      <c r="G184" s="261">
        <f>+C184+D184-E184+F184</f>
        <v>41400000</v>
      </c>
      <c r="H184" s="261">
        <v>0</v>
      </c>
      <c r="I184" s="261">
        <v>500000</v>
      </c>
      <c r="J184" s="261">
        <f t="shared" si="79"/>
        <v>40900000</v>
      </c>
      <c r="K184" s="261">
        <v>0</v>
      </c>
      <c r="L184" s="261">
        <v>0</v>
      </c>
      <c r="M184" s="261">
        <f t="shared" si="86"/>
        <v>500000</v>
      </c>
      <c r="N184" s="261">
        <v>500000</v>
      </c>
      <c r="O184" s="261">
        <v>1000000</v>
      </c>
      <c r="P184" s="261">
        <f t="shared" si="80"/>
        <v>500000</v>
      </c>
      <c r="Q184" s="177">
        <f t="shared" si="81"/>
        <v>40400000</v>
      </c>
      <c r="R184" s="261">
        <f t="shared" si="82"/>
        <v>0</v>
      </c>
      <c r="T184" s="183" t="s">
        <v>327</v>
      </c>
      <c r="U184" s="259" t="s">
        <v>328</v>
      </c>
      <c r="V184" s="261">
        <v>41400000</v>
      </c>
      <c r="W184" s="261">
        <v>0</v>
      </c>
      <c r="X184" s="261">
        <v>0</v>
      </c>
      <c r="Y184" s="261">
        <v>0</v>
      </c>
      <c r="Z184" s="261">
        <v>41400000</v>
      </c>
      <c r="AA184" s="261">
        <v>0</v>
      </c>
      <c r="AB184" s="261">
        <v>500000</v>
      </c>
      <c r="AC184" s="261">
        <v>40900000</v>
      </c>
      <c r="AD184" s="261">
        <v>0</v>
      </c>
      <c r="AE184" s="261">
        <v>0</v>
      </c>
      <c r="AF184" s="261">
        <v>500000</v>
      </c>
      <c r="AG184" s="261">
        <v>500000</v>
      </c>
      <c r="AH184" s="261">
        <v>1000000</v>
      </c>
      <c r="AI184" s="261">
        <v>500000</v>
      </c>
      <c r="AJ184" s="261">
        <v>40400000</v>
      </c>
      <c r="AK184" s="261">
        <v>0</v>
      </c>
      <c r="AL184" s="261">
        <v>500000</v>
      </c>
      <c r="AM184" s="261">
        <v>1000000</v>
      </c>
      <c r="AN184" s="261">
        <v>1000000</v>
      </c>
      <c r="AO184" s="261">
        <v>500000</v>
      </c>
      <c r="AP184" s="261">
        <v>40400000</v>
      </c>
      <c r="AQ184" s="261"/>
      <c r="AS184" s="261"/>
    </row>
    <row r="185" spans="1:45" x14ac:dyDescent="0.25">
      <c r="A185" s="2" t="s">
        <v>329</v>
      </c>
      <c r="B185" s="259" t="s">
        <v>330</v>
      </c>
      <c r="C185" s="261">
        <v>5000000</v>
      </c>
      <c r="D185" s="261">
        <v>0</v>
      </c>
      <c r="E185" s="261">
        <v>0</v>
      </c>
      <c r="F185" s="261">
        <v>0</v>
      </c>
      <c r="G185" s="261">
        <f>+C185+D185-E185+F185</f>
        <v>5000000</v>
      </c>
      <c r="H185" s="261">
        <v>0</v>
      </c>
      <c r="I185" s="261">
        <v>0</v>
      </c>
      <c r="J185" s="261">
        <f t="shared" si="79"/>
        <v>5000000</v>
      </c>
      <c r="K185" s="261">
        <v>0</v>
      </c>
      <c r="L185" s="261">
        <v>0</v>
      </c>
      <c r="M185" s="261">
        <f t="shared" si="86"/>
        <v>0</v>
      </c>
      <c r="N185" s="261">
        <v>0</v>
      </c>
      <c r="O185" s="261">
        <v>0</v>
      </c>
      <c r="P185" s="261">
        <f t="shared" si="80"/>
        <v>0</v>
      </c>
      <c r="Q185" s="177">
        <f t="shared" si="81"/>
        <v>5000000</v>
      </c>
      <c r="R185" s="261">
        <f t="shared" si="82"/>
        <v>0</v>
      </c>
      <c r="T185" s="183" t="s">
        <v>329</v>
      </c>
      <c r="U185" s="259" t="s">
        <v>330</v>
      </c>
      <c r="V185" s="261">
        <v>5000000</v>
      </c>
      <c r="W185" s="261">
        <v>0</v>
      </c>
      <c r="X185" s="261">
        <v>0</v>
      </c>
      <c r="Y185" s="261">
        <v>0</v>
      </c>
      <c r="Z185" s="261">
        <v>5000000</v>
      </c>
      <c r="AA185" s="261">
        <v>0</v>
      </c>
      <c r="AB185" s="261">
        <v>0</v>
      </c>
      <c r="AC185" s="261">
        <v>5000000</v>
      </c>
      <c r="AD185" s="261">
        <v>0</v>
      </c>
      <c r="AE185" s="261">
        <v>0</v>
      </c>
      <c r="AF185" s="261">
        <v>0</v>
      </c>
      <c r="AG185" s="261">
        <v>0</v>
      </c>
      <c r="AH185" s="261">
        <v>0</v>
      </c>
      <c r="AI185" s="261">
        <v>0</v>
      </c>
      <c r="AJ185" s="261">
        <v>5000000</v>
      </c>
      <c r="AK185" s="261">
        <v>0</v>
      </c>
      <c r="AL185" s="261">
        <v>0</v>
      </c>
      <c r="AM185" s="261">
        <v>0</v>
      </c>
      <c r="AN185" s="261">
        <v>0</v>
      </c>
      <c r="AO185" s="261">
        <v>0</v>
      </c>
      <c r="AP185" s="261">
        <v>5000000</v>
      </c>
      <c r="AQ185" s="261"/>
      <c r="AS185" s="261"/>
    </row>
    <row r="186" spans="1:45" x14ac:dyDescent="0.25">
      <c r="A186" s="2" t="s">
        <v>331</v>
      </c>
      <c r="B186" s="259" t="s">
        <v>332</v>
      </c>
      <c r="C186" s="261">
        <v>50000000</v>
      </c>
      <c r="D186" s="261">
        <v>0</v>
      </c>
      <c r="E186" s="261">
        <v>0</v>
      </c>
      <c r="F186" s="261">
        <v>0</v>
      </c>
      <c r="G186" s="261">
        <f>+C186+D186-E186+F186</f>
        <v>50000000</v>
      </c>
      <c r="H186" s="261">
        <v>0</v>
      </c>
      <c r="I186" s="261">
        <v>2899562.63</v>
      </c>
      <c r="J186" s="261">
        <f t="shared" si="79"/>
        <v>47100437.369999997</v>
      </c>
      <c r="K186" s="261">
        <v>0</v>
      </c>
      <c r="L186" s="261">
        <v>899562.63</v>
      </c>
      <c r="M186" s="261">
        <f t="shared" si="86"/>
        <v>2000000</v>
      </c>
      <c r="N186" s="261">
        <v>2000000</v>
      </c>
      <c r="O186" s="261">
        <v>6556562.6299999999</v>
      </c>
      <c r="P186" s="261">
        <f t="shared" si="80"/>
        <v>3657000</v>
      </c>
      <c r="Q186" s="177">
        <f t="shared" si="81"/>
        <v>43443437.369999997</v>
      </c>
      <c r="R186" s="261">
        <f t="shared" si="82"/>
        <v>899562.63</v>
      </c>
      <c r="T186" s="183" t="s">
        <v>331</v>
      </c>
      <c r="U186" s="259" t="s">
        <v>332</v>
      </c>
      <c r="V186" s="261">
        <v>50000000</v>
      </c>
      <c r="W186" s="261">
        <v>0</v>
      </c>
      <c r="X186" s="261">
        <v>0</v>
      </c>
      <c r="Y186" s="261">
        <v>0</v>
      </c>
      <c r="Z186" s="261">
        <v>50000000</v>
      </c>
      <c r="AA186" s="261">
        <v>0</v>
      </c>
      <c r="AB186" s="261">
        <v>2899562.63</v>
      </c>
      <c r="AC186" s="261">
        <v>47100437.369999997</v>
      </c>
      <c r="AD186" s="261">
        <v>0</v>
      </c>
      <c r="AE186" s="261">
        <v>899562.63</v>
      </c>
      <c r="AF186" s="261">
        <v>2000000</v>
      </c>
      <c r="AG186" s="261">
        <v>2000000</v>
      </c>
      <c r="AH186" s="261">
        <v>6556562.6299999999</v>
      </c>
      <c r="AI186" s="261">
        <v>3657000</v>
      </c>
      <c r="AJ186" s="261">
        <v>43443437.369999997</v>
      </c>
      <c r="AK186" s="261">
        <v>0</v>
      </c>
      <c r="AL186" s="261">
        <v>2000000</v>
      </c>
      <c r="AM186" s="261">
        <v>6556562.6299999999</v>
      </c>
      <c r="AN186" s="261">
        <v>6556562.6299999999</v>
      </c>
      <c r="AO186" s="261">
        <v>3657000</v>
      </c>
      <c r="AP186" s="261">
        <v>43443437.369999997</v>
      </c>
      <c r="AQ186" s="261"/>
      <c r="AS186" s="261"/>
    </row>
    <row r="187" spans="1:45" x14ac:dyDescent="0.25">
      <c r="A187" s="2" t="s">
        <v>333</v>
      </c>
      <c r="B187" s="259" t="s">
        <v>334</v>
      </c>
      <c r="C187" s="261">
        <v>2000000</v>
      </c>
      <c r="D187" s="261">
        <v>0</v>
      </c>
      <c r="E187" s="261">
        <v>0</v>
      </c>
      <c r="F187" s="261">
        <v>0</v>
      </c>
      <c r="G187" s="261">
        <f>+C187+D187-E187+F187</f>
        <v>2000000</v>
      </c>
      <c r="H187" s="261">
        <v>0</v>
      </c>
      <c r="I187" s="261">
        <v>0</v>
      </c>
      <c r="J187" s="261">
        <f t="shared" si="79"/>
        <v>2000000</v>
      </c>
      <c r="K187" s="261">
        <v>0</v>
      </c>
      <c r="L187" s="261">
        <v>0</v>
      </c>
      <c r="M187" s="261">
        <f t="shared" si="86"/>
        <v>0</v>
      </c>
      <c r="N187" s="261">
        <v>0</v>
      </c>
      <c r="O187" s="261">
        <v>0</v>
      </c>
      <c r="P187" s="261">
        <f t="shared" si="80"/>
        <v>0</v>
      </c>
      <c r="Q187" s="177">
        <f t="shared" si="81"/>
        <v>2000000</v>
      </c>
      <c r="R187" s="261">
        <f t="shared" si="82"/>
        <v>0</v>
      </c>
      <c r="T187" s="183" t="s">
        <v>333</v>
      </c>
      <c r="U187" s="259" t="s">
        <v>334</v>
      </c>
      <c r="V187" s="261">
        <v>2000000</v>
      </c>
      <c r="W187" s="261">
        <v>0</v>
      </c>
      <c r="X187" s="261">
        <v>0</v>
      </c>
      <c r="Y187" s="261">
        <v>0</v>
      </c>
      <c r="Z187" s="261">
        <v>2000000</v>
      </c>
      <c r="AA187" s="261">
        <v>0</v>
      </c>
      <c r="AB187" s="261">
        <v>0</v>
      </c>
      <c r="AC187" s="261">
        <v>2000000</v>
      </c>
      <c r="AD187" s="261">
        <v>0</v>
      </c>
      <c r="AE187" s="261">
        <v>0</v>
      </c>
      <c r="AF187" s="261">
        <v>0</v>
      </c>
      <c r="AG187" s="261">
        <v>0</v>
      </c>
      <c r="AH187" s="261">
        <v>0</v>
      </c>
      <c r="AI187" s="261">
        <v>0</v>
      </c>
      <c r="AJ187" s="261">
        <v>2000000</v>
      </c>
      <c r="AK187" s="261">
        <v>0</v>
      </c>
      <c r="AL187" s="261">
        <v>0</v>
      </c>
      <c r="AM187" s="261">
        <v>0</v>
      </c>
      <c r="AN187" s="261">
        <v>0</v>
      </c>
      <c r="AO187" s="261">
        <v>0</v>
      </c>
      <c r="AP187" s="261">
        <v>2000000</v>
      </c>
      <c r="AQ187" s="261"/>
      <c r="AS187" s="261"/>
    </row>
    <row r="188" spans="1:45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 t="shared" ref="D188:R188" si="96">+D189</f>
        <v>0</v>
      </c>
      <c r="E188" s="9">
        <f t="shared" si="96"/>
        <v>0</v>
      </c>
      <c r="F188" s="9">
        <f t="shared" si="96"/>
        <v>0</v>
      </c>
      <c r="G188" s="9">
        <f t="shared" si="96"/>
        <v>23360000</v>
      </c>
      <c r="H188" s="9">
        <f t="shared" si="96"/>
        <v>0</v>
      </c>
      <c r="I188" s="9">
        <f t="shared" si="96"/>
        <v>500000</v>
      </c>
      <c r="J188" s="9">
        <f t="shared" si="79"/>
        <v>22860000</v>
      </c>
      <c r="K188" s="9">
        <f t="shared" si="96"/>
        <v>0</v>
      </c>
      <c r="L188" s="9">
        <f t="shared" si="96"/>
        <v>0</v>
      </c>
      <c r="M188" s="9">
        <f t="shared" si="96"/>
        <v>500000</v>
      </c>
      <c r="N188" s="9">
        <f t="shared" si="96"/>
        <v>846081</v>
      </c>
      <c r="O188" s="9">
        <f t="shared" si="96"/>
        <v>1346081</v>
      </c>
      <c r="P188" s="9">
        <f t="shared" si="96"/>
        <v>846081</v>
      </c>
      <c r="Q188" s="9">
        <f t="shared" si="81"/>
        <v>22013919</v>
      </c>
      <c r="R188" s="9">
        <f t="shared" si="96"/>
        <v>0</v>
      </c>
      <c r="T188" s="183" t="s">
        <v>335</v>
      </c>
      <c r="U188" s="259" t="s">
        <v>336</v>
      </c>
      <c r="V188" s="261">
        <v>23360000</v>
      </c>
      <c r="W188" s="261">
        <v>0</v>
      </c>
      <c r="X188" s="261">
        <v>0</v>
      </c>
      <c r="Y188" s="261">
        <v>0</v>
      </c>
      <c r="Z188" s="261">
        <v>23360000</v>
      </c>
      <c r="AA188" s="261">
        <v>0</v>
      </c>
      <c r="AB188" s="261">
        <v>500000</v>
      </c>
      <c r="AC188" s="261">
        <v>22860000</v>
      </c>
      <c r="AD188" s="261">
        <v>0</v>
      </c>
      <c r="AE188" s="261">
        <v>0</v>
      </c>
      <c r="AF188" s="261">
        <v>500000</v>
      </c>
      <c r="AG188" s="261">
        <v>846081</v>
      </c>
      <c r="AH188" s="261">
        <v>1346081</v>
      </c>
      <c r="AI188" s="261">
        <v>846081</v>
      </c>
      <c r="AJ188" s="261">
        <v>22013919</v>
      </c>
      <c r="AK188" s="261">
        <v>0</v>
      </c>
      <c r="AL188" s="261">
        <v>846081</v>
      </c>
      <c r="AM188" s="261">
        <v>1346081</v>
      </c>
      <c r="AN188" s="261">
        <v>1346081</v>
      </c>
      <c r="AO188" s="261">
        <v>846081</v>
      </c>
      <c r="AP188" s="261">
        <v>22013919</v>
      </c>
      <c r="AQ188" s="9"/>
      <c r="AS188" s="9"/>
    </row>
    <row r="189" spans="1:45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 t="shared" ref="D189:R189" si="97">+D190+D191+D192</f>
        <v>0</v>
      </c>
      <c r="E189" s="9">
        <f t="shared" si="97"/>
        <v>0</v>
      </c>
      <c r="F189" s="9">
        <f t="shared" si="97"/>
        <v>0</v>
      </c>
      <c r="G189" s="9">
        <f t="shared" si="97"/>
        <v>23360000</v>
      </c>
      <c r="H189" s="9">
        <f t="shared" si="97"/>
        <v>0</v>
      </c>
      <c r="I189" s="9">
        <f t="shared" si="97"/>
        <v>500000</v>
      </c>
      <c r="J189" s="9">
        <f t="shared" si="79"/>
        <v>22860000</v>
      </c>
      <c r="K189" s="9">
        <f t="shared" si="97"/>
        <v>0</v>
      </c>
      <c r="L189" s="9">
        <f t="shared" si="97"/>
        <v>0</v>
      </c>
      <c r="M189" s="9">
        <f t="shared" si="97"/>
        <v>500000</v>
      </c>
      <c r="N189" s="9">
        <f t="shared" si="97"/>
        <v>846081</v>
      </c>
      <c r="O189" s="9">
        <f t="shared" si="97"/>
        <v>1346081</v>
      </c>
      <c r="P189" s="9">
        <f t="shared" si="97"/>
        <v>846081</v>
      </c>
      <c r="Q189" s="9">
        <f t="shared" si="81"/>
        <v>22013919</v>
      </c>
      <c r="R189" s="9">
        <f t="shared" si="97"/>
        <v>0</v>
      </c>
      <c r="T189" s="183" t="s">
        <v>337</v>
      </c>
      <c r="U189" s="259" t="s">
        <v>120</v>
      </c>
      <c r="V189" s="261">
        <v>23360000</v>
      </c>
      <c r="W189" s="261">
        <v>0</v>
      </c>
      <c r="X189" s="261">
        <v>0</v>
      </c>
      <c r="Y189" s="261">
        <v>0</v>
      </c>
      <c r="Z189" s="261">
        <v>23360000</v>
      </c>
      <c r="AA189" s="261">
        <v>0</v>
      </c>
      <c r="AB189" s="261">
        <v>500000</v>
      </c>
      <c r="AC189" s="261">
        <v>22860000</v>
      </c>
      <c r="AD189" s="261">
        <v>0</v>
      </c>
      <c r="AE189" s="261">
        <v>0</v>
      </c>
      <c r="AF189" s="261">
        <v>500000</v>
      </c>
      <c r="AG189" s="261">
        <v>846081</v>
      </c>
      <c r="AH189" s="261">
        <v>1346081</v>
      </c>
      <c r="AI189" s="261">
        <v>846081</v>
      </c>
      <c r="AJ189" s="261">
        <v>22013919</v>
      </c>
      <c r="AK189" s="261">
        <v>0</v>
      </c>
      <c r="AL189" s="261">
        <v>846081</v>
      </c>
      <c r="AM189" s="261">
        <v>1346081</v>
      </c>
      <c r="AN189" s="261">
        <v>1346081</v>
      </c>
      <c r="AO189" s="261">
        <v>846081</v>
      </c>
      <c r="AP189" s="261">
        <v>22013919</v>
      </c>
      <c r="AQ189" s="9"/>
      <c r="AS189" s="9"/>
    </row>
    <row r="190" spans="1:45" x14ac:dyDescent="0.25">
      <c r="A190" s="2" t="s">
        <v>338</v>
      </c>
      <c r="B190" s="259" t="s">
        <v>122</v>
      </c>
      <c r="C190" s="261">
        <v>3360000</v>
      </c>
      <c r="D190" s="261">
        <v>0</v>
      </c>
      <c r="E190" s="261">
        <v>0</v>
      </c>
      <c r="F190" s="261">
        <v>0</v>
      </c>
      <c r="G190" s="261">
        <f>+C190+D190-E190+F190</f>
        <v>3360000</v>
      </c>
      <c r="H190" s="261">
        <v>0</v>
      </c>
      <c r="I190" s="261">
        <v>0</v>
      </c>
      <c r="J190" s="261">
        <f t="shared" si="79"/>
        <v>3360000</v>
      </c>
      <c r="K190" s="261">
        <v>0</v>
      </c>
      <c r="L190" s="261">
        <v>0</v>
      </c>
      <c r="M190" s="261">
        <f t="shared" si="86"/>
        <v>0</v>
      </c>
      <c r="N190" s="261">
        <v>0</v>
      </c>
      <c r="O190" s="261">
        <v>0</v>
      </c>
      <c r="P190" s="261">
        <f t="shared" si="80"/>
        <v>0</v>
      </c>
      <c r="Q190" s="177">
        <f t="shared" si="81"/>
        <v>3360000</v>
      </c>
      <c r="R190" s="261">
        <f t="shared" si="82"/>
        <v>0</v>
      </c>
      <c r="T190" s="183" t="s">
        <v>338</v>
      </c>
      <c r="U190" s="259" t="s">
        <v>122</v>
      </c>
      <c r="V190" s="261">
        <v>3360000</v>
      </c>
      <c r="W190" s="261">
        <v>0</v>
      </c>
      <c r="X190" s="261">
        <v>0</v>
      </c>
      <c r="Y190" s="261">
        <v>0</v>
      </c>
      <c r="Z190" s="261">
        <v>3360000</v>
      </c>
      <c r="AA190" s="261">
        <v>0</v>
      </c>
      <c r="AB190" s="261">
        <v>0</v>
      </c>
      <c r="AC190" s="261">
        <v>3360000</v>
      </c>
      <c r="AD190" s="261">
        <v>0</v>
      </c>
      <c r="AE190" s="261">
        <v>0</v>
      </c>
      <c r="AF190" s="261">
        <v>0</v>
      </c>
      <c r="AG190" s="261">
        <v>0</v>
      </c>
      <c r="AH190" s="261">
        <v>0</v>
      </c>
      <c r="AI190" s="261">
        <v>0</v>
      </c>
      <c r="AJ190" s="261">
        <v>3360000</v>
      </c>
      <c r="AK190" s="261">
        <v>0</v>
      </c>
      <c r="AL190" s="261">
        <v>0</v>
      </c>
      <c r="AM190" s="261">
        <v>0</v>
      </c>
      <c r="AN190" s="261">
        <v>0</v>
      </c>
      <c r="AO190" s="261">
        <v>0</v>
      </c>
      <c r="AP190" s="261">
        <v>3360000</v>
      </c>
      <c r="AQ190" s="261"/>
      <c r="AS190" s="261"/>
    </row>
    <row r="191" spans="1:45" x14ac:dyDescent="0.25">
      <c r="A191" s="2" t="s">
        <v>339</v>
      </c>
      <c r="B191" s="259" t="s">
        <v>124</v>
      </c>
      <c r="C191" s="261">
        <v>15000000</v>
      </c>
      <c r="D191" s="261">
        <v>0</v>
      </c>
      <c r="E191" s="261">
        <v>0</v>
      </c>
      <c r="F191" s="261">
        <v>0</v>
      </c>
      <c r="G191" s="261">
        <f>+C191+D191-E191+F191</f>
        <v>15000000</v>
      </c>
      <c r="H191" s="261">
        <v>0</v>
      </c>
      <c r="I191" s="261">
        <v>500000</v>
      </c>
      <c r="J191" s="261">
        <f t="shared" si="79"/>
        <v>14500000</v>
      </c>
      <c r="K191" s="261">
        <v>0</v>
      </c>
      <c r="L191" s="261">
        <v>0</v>
      </c>
      <c r="M191" s="261">
        <f t="shared" si="86"/>
        <v>500000</v>
      </c>
      <c r="N191" s="261">
        <v>846081</v>
      </c>
      <c r="O191" s="261">
        <v>1346081</v>
      </c>
      <c r="P191" s="261">
        <f t="shared" si="80"/>
        <v>846081</v>
      </c>
      <c r="Q191" s="177">
        <f t="shared" si="81"/>
        <v>13653919</v>
      </c>
      <c r="R191" s="261">
        <f t="shared" si="82"/>
        <v>0</v>
      </c>
      <c r="T191" s="183" t="s">
        <v>339</v>
      </c>
      <c r="U191" s="259" t="s">
        <v>124</v>
      </c>
      <c r="V191" s="261">
        <v>15000000</v>
      </c>
      <c r="W191" s="261">
        <v>0</v>
      </c>
      <c r="X191" s="261">
        <v>0</v>
      </c>
      <c r="Y191" s="261">
        <v>0</v>
      </c>
      <c r="Z191" s="261">
        <v>15000000</v>
      </c>
      <c r="AA191" s="261">
        <v>0</v>
      </c>
      <c r="AB191" s="261">
        <v>500000</v>
      </c>
      <c r="AC191" s="261">
        <v>14500000</v>
      </c>
      <c r="AD191" s="261">
        <v>0</v>
      </c>
      <c r="AE191" s="261">
        <v>0</v>
      </c>
      <c r="AF191" s="261">
        <v>500000</v>
      </c>
      <c r="AG191" s="261">
        <v>846081</v>
      </c>
      <c r="AH191" s="261">
        <v>1346081</v>
      </c>
      <c r="AI191" s="261">
        <v>846081</v>
      </c>
      <c r="AJ191" s="261">
        <v>13653919</v>
      </c>
      <c r="AK191" s="261">
        <v>0</v>
      </c>
      <c r="AL191" s="261">
        <v>846081</v>
      </c>
      <c r="AM191" s="261">
        <v>1346081</v>
      </c>
      <c r="AN191" s="261">
        <v>1346081</v>
      </c>
      <c r="AO191" s="261">
        <v>846081</v>
      </c>
      <c r="AP191" s="261">
        <v>13653919</v>
      </c>
      <c r="AQ191" s="261"/>
      <c r="AS191" s="261"/>
    </row>
    <row r="192" spans="1:45" x14ac:dyDescent="0.25">
      <c r="A192" s="2" t="s">
        <v>340</v>
      </c>
      <c r="B192" s="259" t="s">
        <v>126</v>
      </c>
      <c r="C192" s="261">
        <v>5000000</v>
      </c>
      <c r="D192" s="261">
        <v>0</v>
      </c>
      <c r="E192" s="261">
        <v>0</v>
      </c>
      <c r="F192" s="261">
        <v>0</v>
      </c>
      <c r="G192" s="261">
        <f>+C192+D192-E192+F192</f>
        <v>5000000</v>
      </c>
      <c r="H192" s="261">
        <v>0</v>
      </c>
      <c r="I192" s="261">
        <v>0</v>
      </c>
      <c r="J192" s="261">
        <f t="shared" si="79"/>
        <v>5000000</v>
      </c>
      <c r="K192" s="261">
        <v>0</v>
      </c>
      <c r="L192" s="261">
        <v>0</v>
      </c>
      <c r="M192" s="261">
        <f t="shared" si="86"/>
        <v>0</v>
      </c>
      <c r="N192" s="261">
        <v>0</v>
      </c>
      <c r="O192" s="261">
        <v>0</v>
      </c>
      <c r="P192" s="261">
        <f t="shared" si="80"/>
        <v>0</v>
      </c>
      <c r="Q192" s="177">
        <f t="shared" si="81"/>
        <v>5000000</v>
      </c>
      <c r="R192" s="261">
        <f t="shared" si="82"/>
        <v>0</v>
      </c>
      <c r="T192" s="183" t="s">
        <v>340</v>
      </c>
      <c r="U192" s="259" t="s">
        <v>126</v>
      </c>
      <c r="V192" s="261">
        <v>5000000</v>
      </c>
      <c r="W192" s="261">
        <v>0</v>
      </c>
      <c r="X192" s="261">
        <v>0</v>
      </c>
      <c r="Y192" s="261">
        <v>0</v>
      </c>
      <c r="Z192" s="261">
        <v>5000000</v>
      </c>
      <c r="AA192" s="261">
        <v>0</v>
      </c>
      <c r="AB192" s="261">
        <v>0</v>
      </c>
      <c r="AC192" s="261">
        <v>5000000</v>
      </c>
      <c r="AD192" s="261">
        <v>0</v>
      </c>
      <c r="AE192" s="261">
        <v>0</v>
      </c>
      <c r="AF192" s="261">
        <v>0</v>
      </c>
      <c r="AG192" s="261">
        <v>0</v>
      </c>
      <c r="AH192" s="261">
        <v>0</v>
      </c>
      <c r="AI192" s="261">
        <v>0</v>
      </c>
      <c r="AJ192" s="261">
        <v>5000000</v>
      </c>
      <c r="AK192" s="261">
        <v>0</v>
      </c>
      <c r="AL192" s="261">
        <v>0</v>
      </c>
      <c r="AM192" s="261">
        <v>0</v>
      </c>
      <c r="AN192" s="261">
        <v>0</v>
      </c>
      <c r="AO192" s="261">
        <v>0</v>
      </c>
      <c r="AP192" s="261">
        <v>5000000</v>
      </c>
      <c r="AQ192" s="261"/>
      <c r="AS192" s="261"/>
    </row>
    <row r="193" spans="1:45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 t="shared" ref="D193:R193" si="98">+D194+D199+D202</f>
        <v>0</v>
      </c>
      <c r="E193" s="9">
        <f t="shared" si="98"/>
        <v>0</v>
      </c>
      <c r="F193" s="9">
        <f t="shared" si="98"/>
        <v>0</v>
      </c>
      <c r="G193" s="9">
        <f t="shared" si="98"/>
        <v>97400000</v>
      </c>
      <c r="H193" s="9">
        <f t="shared" si="98"/>
        <v>0</v>
      </c>
      <c r="I193" s="9">
        <f t="shared" si="98"/>
        <v>11376987</v>
      </c>
      <c r="J193" s="9">
        <f t="shared" si="79"/>
        <v>86023013</v>
      </c>
      <c r="K193" s="9">
        <f t="shared" si="98"/>
        <v>0</v>
      </c>
      <c r="L193" s="9">
        <f t="shared" si="98"/>
        <v>11185947</v>
      </c>
      <c r="M193" s="9">
        <f t="shared" si="98"/>
        <v>191040</v>
      </c>
      <c r="N193" s="9">
        <f t="shared" si="98"/>
        <v>0</v>
      </c>
      <c r="O193" s="9">
        <f t="shared" si="98"/>
        <v>11376987</v>
      </c>
      <c r="P193" s="9">
        <f t="shared" si="98"/>
        <v>0</v>
      </c>
      <c r="Q193" s="9">
        <f t="shared" si="81"/>
        <v>86023013</v>
      </c>
      <c r="R193" s="9">
        <f t="shared" si="98"/>
        <v>11185947</v>
      </c>
      <c r="T193" s="183" t="s">
        <v>341</v>
      </c>
      <c r="U193" s="259" t="s">
        <v>342</v>
      </c>
      <c r="V193" s="261">
        <v>97400000</v>
      </c>
      <c r="W193" s="261">
        <v>0</v>
      </c>
      <c r="X193" s="261">
        <v>0</v>
      </c>
      <c r="Y193" s="261">
        <v>0</v>
      </c>
      <c r="Z193" s="261">
        <v>97400000</v>
      </c>
      <c r="AA193" s="261">
        <v>0</v>
      </c>
      <c r="AB193" s="261">
        <v>11376987</v>
      </c>
      <c r="AC193" s="261">
        <v>86023013</v>
      </c>
      <c r="AD193" s="261">
        <v>0</v>
      </c>
      <c r="AE193" s="261">
        <v>11185947</v>
      </c>
      <c r="AF193" s="261">
        <v>191040</v>
      </c>
      <c r="AG193" s="261">
        <v>0</v>
      </c>
      <c r="AH193" s="261">
        <v>11376987</v>
      </c>
      <c r="AI193" s="261">
        <v>0</v>
      </c>
      <c r="AJ193" s="261">
        <v>86023013</v>
      </c>
      <c r="AK193" s="261">
        <v>0</v>
      </c>
      <c r="AL193" s="261">
        <v>0</v>
      </c>
      <c r="AM193" s="261">
        <v>11376987</v>
      </c>
      <c r="AN193" s="261">
        <v>11376987</v>
      </c>
      <c r="AO193" s="261">
        <v>0</v>
      </c>
      <c r="AP193" s="261">
        <v>86023013</v>
      </c>
      <c r="AQ193" s="9"/>
      <c r="AS193" s="9"/>
    </row>
    <row r="194" spans="1:45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 t="shared" ref="D194:R194" si="99">SUM(D195:D198)</f>
        <v>0</v>
      </c>
      <c r="E194" s="9">
        <f t="shared" si="99"/>
        <v>0</v>
      </c>
      <c r="F194" s="9">
        <f t="shared" si="99"/>
        <v>0</v>
      </c>
      <c r="G194" s="9">
        <f t="shared" si="99"/>
        <v>28900000</v>
      </c>
      <c r="H194" s="9">
        <f t="shared" si="99"/>
        <v>0</v>
      </c>
      <c r="I194" s="9">
        <f t="shared" si="99"/>
        <v>0</v>
      </c>
      <c r="J194" s="9">
        <f t="shared" si="79"/>
        <v>28900000</v>
      </c>
      <c r="K194" s="9">
        <f t="shared" si="99"/>
        <v>0</v>
      </c>
      <c r="L194" s="9">
        <f t="shared" si="99"/>
        <v>0</v>
      </c>
      <c r="M194" s="9">
        <f t="shared" si="99"/>
        <v>0</v>
      </c>
      <c r="N194" s="9">
        <f t="shared" si="99"/>
        <v>0</v>
      </c>
      <c r="O194" s="9">
        <f t="shared" si="99"/>
        <v>0</v>
      </c>
      <c r="P194" s="9">
        <f t="shared" si="99"/>
        <v>0</v>
      </c>
      <c r="Q194" s="9">
        <f t="shared" si="81"/>
        <v>28900000</v>
      </c>
      <c r="R194" s="9">
        <f t="shared" si="99"/>
        <v>0</v>
      </c>
      <c r="T194" s="183" t="s">
        <v>343</v>
      </c>
      <c r="U194" s="259" t="s">
        <v>140</v>
      </c>
      <c r="V194" s="261">
        <v>28900000</v>
      </c>
      <c r="W194" s="261">
        <v>0</v>
      </c>
      <c r="X194" s="261">
        <v>0</v>
      </c>
      <c r="Y194" s="261">
        <v>0</v>
      </c>
      <c r="Z194" s="261">
        <v>28900000</v>
      </c>
      <c r="AA194" s="261">
        <v>0</v>
      </c>
      <c r="AB194" s="261">
        <v>0</v>
      </c>
      <c r="AC194" s="261">
        <v>28900000</v>
      </c>
      <c r="AD194" s="261">
        <v>0</v>
      </c>
      <c r="AE194" s="261">
        <v>0</v>
      </c>
      <c r="AF194" s="261">
        <v>0</v>
      </c>
      <c r="AG194" s="261">
        <v>0</v>
      </c>
      <c r="AH194" s="261">
        <v>0</v>
      </c>
      <c r="AI194" s="261">
        <v>0</v>
      </c>
      <c r="AJ194" s="261">
        <v>28900000</v>
      </c>
      <c r="AK194" s="261">
        <v>0</v>
      </c>
      <c r="AL194" s="261">
        <v>0</v>
      </c>
      <c r="AM194" s="261">
        <v>0</v>
      </c>
      <c r="AN194" s="261">
        <v>0</v>
      </c>
      <c r="AO194" s="261">
        <v>0</v>
      </c>
      <c r="AP194" s="261">
        <v>28900000</v>
      </c>
      <c r="AQ194" s="9"/>
      <c r="AS194" s="9"/>
    </row>
    <row r="195" spans="1:45" x14ac:dyDescent="0.25">
      <c r="A195" s="2" t="s">
        <v>344</v>
      </c>
      <c r="B195" s="259" t="s">
        <v>345</v>
      </c>
      <c r="C195" s="261">
        <v>5000000</v>
      </c>
      <c r="D195" s="261">
        <v>0</v>
      </c>
      <c r="E195" s="261">
        <v>0</v>
      </c>
      <c r="F195" s="261">
        <v>0</v>
      </c>
      <c r="G195" s="261">
        <f>+C195+D195-E195+F195</f>
        <v>5000000</v>
      </c>
      <c r="H195" s="261">
        <v>0</v>
      </c>
      <c r="I195" s="261">
        <v>0</v>
      </c>
      <c r="J195" s="261">
        <f t="shared" si="79"/>
        <v>5000000</v>
      </c>
      <c r="K195" s="261">
        <v>0</v>
      </c>
      <c r="L195" s="261">
        <v>0</v>
      </c>
      <c r="M195" s="261">
        <f t="shared" si="86"/>
        <v>0</v>
      </c>
      <c r="N195" s="261">
        <v>0</v>
      </c>
      <c r="O195" s="261">
        <v>0</v>
      </c>
      <c r="P195" s="261">
        <f t="shared" si="80"/>
        <v>0</v>
      </c>
      <c r="Q195" s="177">
        <f t="shared" si="81"/>
        <v>5000000</v>
      </c>
      <c r="R195" s="261">
        <f t="shared" si="82"/>
        <v>0</v>
      </c>
      <c r="T195" s="183" t="s">
        <v>344</v>
      </c>
      <c r="U195" s="259" t="s">
        <v>345</v>
      </c>
      <c r="V195" s="261">
        <v>5000000</v>
      </c>
      <c r="W195" s="261">
        <v>0</v>
      </c>
      <c r="X195" s="261">
        <v>0</v>
      </c>
      <c r="Y195" s="261">
        <v>0</v>
      </c>
      <c r="Z195" s="261">
        <v>5000000</v>
      </c>
      <c r="AA195" s="261">
        <v>0</v>
      </c>
      <c r="AB195" s="261">
        <v>0</v>
      </c>
      <c r="AC195" s="261">
        <v>5000000</v>
      </c>
      <c r="AD195" s="261">
        <v>0</v>
      </c>
      <c r="AE195" s="261">
        <v>0</v>
      </c>
      <c r="AF195" s="261">
        <v>0</v>
      </c>
      <c r="AG195" s="261">
        <v>0</v>
      </c>
      <c r="AH195" s="261">
        <v>0</v>
      </c>
      <c r="AI195" s="261">
        <v>0</v>
      </c>
      <c r="AJ195" s="261">
        <v>5000000</v>
      </c>
      <c r="AK195" s="261">
        <v>0</v>
      </c>
      <c r="AL195" s="261">
        <v>0</v>
      </c>
      <c r="AM195" s="261">
        <v>0</v>
      </c>
      <c r="AN195" s="261">
        <v>0</v>
      </c>
      <c r="AO195" s="261">
        <v>0</v>
      </c>
      <c r="AP195" s="261">
        <v>5000000</v>
      </c>
      <c r="AQ195" s="261"/>
      <c r="AS195" s="261"/>
    </row>
    <row r="196" spans="1:45" x14ac:dyDescent="0.25">
      <c r="A196" s="2" t="s">
        <v>346</v>
      </c>
      <c r="B196" s="259" t="s">
        <v>347</v>
      </c>
      <c r="C196" s="261">
        <v>1500000</v>
      </c>
      <c r="D196" s="261">
        <v>0</v>
      </c>
      <c r="E196" s="261">
        <v>0</v>
      </c>
      <c r="F196" s="261">
        <v>0</v>
      </c>
      <c r="G196" s="261">
        <f>+C196+D196-E196+F196</f>
        <v>1500000</v>
      </c>
      <c r="H196" s="261">
        <v>0</v>
      </c>
      <c r="I196" s="261">
        <v>0</v>
      </c>
      <c r="J196" s="261">
        <f t="shared" si="79"/>
        <v>1500000</v>
      </c>
      <c r="K196" s="261">
        <v>0</v>
      </c>
      <c r="L196" s="261">
        <v>0</v>
      </c>
      <c r="M196" s="261">
        <f t="shared" si="86"/>
        <v>0</v>
      </c>
      <c r="N196" s="261">
        <v>0</v>
      </c>
      <c r="O196" s="261">
        <v>0</v>
      </c>
      <c r="P196" s="261">
        <f t="shared" si="80"/>
        <v>0</v>
      </c>
      <c r="Q196" s="177">
        <f t="shared" si="81"/>
        <v>1500000</v>
      </c>
      <c r="R196" s="261">
        <f t="shared" si="82"/>
        <v>0</v>
      </c>
      <c r="T196" s="183" t="s">
        <v>346</v>
      </c>
      <c r="U196" s="259" t="s">
        <v>347</v>
      </c>
      <c r="V196" s="261">
        <v>1500000</v>
      </c>
      <c r="W196" s="261">
        <v>0</v>
      </c>
      <c r="X196" s="261">
        <v>0</v>
      </c>
      <c r="Y196" s="261">
        <v>0</v>
      </c>
      <c r="Z196" s="261">
        <v>1500000</v>
      </c>
      <c r="AA196" s="261">
        <v>0</v>
      </c>
      <c r="AB196" s="261">
        <v>0</v>
      </c>
      <c r="AC196" s="261">
        <v>1500000</v>
      </c>
      <c r="AD196" s="261">
        <v>0</v>
      </c>
      <c r="AE196" s="261">
        <v>0</v>
      </c>
      <c r="AF196" s="261">
        <v>0</v>
      </c>
      <c r="AG196" s="261">
        <v>0</v>
      </c>
      <c r="AH196" s="261">
        <v>0</v>
      </c>
      <c r="AI196" s="261">
        <v>0</v>
      </c>
      <c r="AJ196" s="261">
        <v>1500000</v>
      </c>
      <c r="AK196" s="261">
        <v>0</v>
      </c>
      <c r="AL196" s="261">
        <v>0</v>
      </c>
      <c r="AM196" s="261">
        <v>0</v>
      </c>
      <c r="AN196" s="261">
        <v>0</v>
      </c>
      <c r="AO196" s="261">
        <v>0</v>
      </c>
      <c r="AP196" s="261">
        <v>1500000</v>
      </c>
      <c r="AQ196" s="261"/>
      <c r="AS196" s="261"/>
    </row>
    <row r="197" spans="1:45" x14ac:dyDescent="0.25">
      <c r="A197" s="2" t="s">
        <v>348</v>
      </c>
      <c r="B197" s="259" t="s">
        <v>144</v>
      </c>
      <c r="C197" s="261">
        <v>2400000</v>
      </c>
      <c r="D197" s="261">
        <v>0</v>
      </c>
      <c r="E197" s="261">
        <v>0</v>
      </c>
      <c r="F197" s="261">
        <v>0</v>
      </c>
      <c r="G197" s="261">
        <f>+C197+D197-E197+F197</f>
        <v>2400000</v>
      </c>
      <c r="H197" s="261">
        <v>0</v>
      </c>
      <c r="I197" s="261">
        <v>0</v>
      </c>
      <c r="J197" s="261">
        <f t="shared" si="79"/>
        <v>2400000</v>
      </c>
      <c r="K197" s="261">
        <v>0</v>
      </c>
      <c r="L197" s="261">
        <v>0</v>
      </c>
      <c r="M197" s="261">
        <f t="shared" si="86"/>
        <v>0</v>
      </c>
      <c r="N197" s="261">
        <v>0</v>
      </c>
      <c r="O197" s="261">
        <v>0</v>
      </c>
      <c r="P197" s="261">
        <f t="shared" si="80"/>
        <v>0</v>
      </c>
      <c r="Q197" s="177">
        <f t="shared" si="81"/>
        <v>2400000</v>
      </c>
      <c r="R197" s="261">
        <f t="shared" si="82"/>
        <v>0</v>
      </c>
      <c r="T197" s="183" t="s">
        <v>348</v>
      </c>
      <c r="U197" s="259" t="s">
        <v>144</v>
      </c>
      <c r="V197" s="261">
        <v>2400000</v>
      </c>
      <c r="W197" s="261">
        <v>0</v>
      </c>
      <c r="X197" s="261">
        <v>0</v>
      </c>
      <c r="Y197" s="261">
        <v>0</v>
      </c>
      <c r="Z197" s="261">
        <v>2400000</v>
      </c>
      <c r="AA197" s="261">
        <v>0</v>
      </c>
      <c r="AB197" s="261">
        <v>0</v>
      </c>
      <c r="AC197" s="261">
        <v>2400000</v>
      </c>
      <c r="AD197" s="261">
        <v>0</v>
      </c>
      <c r="AE197" s="261">
        <v>0</v>
      </c>
      <c r="AF197" s="261">
        <v>0</v>
      </c>
      <c r="AG197" s="261">
        <v>0</v>
      </c>
      <c r="AH197" s="261">
        <v>0</v>
      </c>
      <c r="AI197" s="261">
        <v>0</v>
      </c>
      <c r="AJ197" s="261">
        <v>2400000</v>
      </c>
      <c r="AK197" s="261">
        <v>0</v>
      </c>
      <c r="AL197" s="261">
        <v>0</v>
      </c>
      <c r="AM197" s="261">
        <v>0</v>
      </c>
      <c r="AN197" s="261">
        <v>0</v>
      </c>
      <c r="AO197" s="261">
        <v>0</v>
      </c>
      <c r="AP197" s="261">
        <v>2400000</v>
      </c>
      <c r="AQ197" s="261"/>
      <c r="AS197" s="261"/>
    </row>
    <row r="198" spans="1:45" x14ac:dyDescent="0.25">
      <c r="A198" s="2" t="s">
        <v>349</v>
      </c>
      <c r="B198" s="259" t="s">
        <v>146</v>
      </c>
      <c r="C198" s="261">
        <v>20000000</v>
      </c>
      <c r="D198" s="261">
        <v>0</v>
      </c>
      <c r="E198" s="261">
        <v>0</v>
      </c>
      <c r="F198" s="261">
        <v>0</v>
      </c>
      <c r="G198" s="261">
        <f>+C198+D198-E198+F198</f>
        <v>20000000</v>
      </c>
      <c r="H198" s="261">
        <v>0</v>
      </c>
      <c r="I198" s="261">
        <v>0</v>
      </c>
      <c r="J198" s="261">
        <f t="shared" si="79"/>
        <v>20000000</v>
      </c>
      <c r="K198" s="261">
        <v>0</v>
      </c>
      <c r="L198" s="261">
        <v>0</v>
      </c>
      <c r="M198" s="261">
        <f t="shared" si="86"/>
        <v>0</v>
      </c>
      <c r="N198" s="261">
        <v>0</v>
      </c>
      <c r="O198" s="261">
        <v>0</v>
      </c>
      <c r="P198" s="261">
        <f t="shared" si="80"/>
        <v>0</v>
      </c>
      <c r="Q198" s="177">
        <f t="shared" si="81"/>
        <v>20000000</v>
      </c>
      <c r="R198" s="261">
        <f t="shared" si="82"/>
        <v>0</v>
      </c>
      <c r="T198" s="183" t="s">
        <v>349</v>
      </c>
      <c r="U198" s="259" t="s">
        <v>146</v>
      </c>
      <c r="V198" s="261">
        <v>20000000</v>
      </c>
      <c r="W198" s="261">
        <v>0</v>
      </c>
      <c r="X198" s="261">
        <v>0</v>
      </c>
      <c r="Y198" s="261">
        <v>0</v>
      </c>
      <c r="Z198" s="261">
        <v>20000000</v>
      </c>
      <c r="AA198" s="261">
        <v>0</v>
      </c>
      <c r="AB198" s="261">
        <v>0</v>
      </c>
      <c r="AC198" s="261">
        <v>20000000</v>
      </c>
      <c r="AD198" s="261">
        <v>0</v>
      </c>
      <c r="AE198" s="261">
        <v>0</v>
      </c>
      <c r="AF198" s="261">
        <v>0</v>
      </c>
      <c r="AG198" s="261">
        <v>0</v>
      </c>
      <c r="AH198" s="261">
        <v>0</v>
      </c>
      <c r="AI198" s="261">
        <v>0</v>
      </c>
      <c r="AJ198" s="261">
        <v>20000000</v>
      </c>
      <c r="AK198" s="261">
        <v>0</v>
      </c>
      <c r="AL198" s="261">
        <v>0</v>
      </c>
      <c r="AM198" s="261">
        <v>0</v>
      </c>
      <c r="AN198" s="261">
        <v>0</v>
      </c>
      <c r="AO198" s="261">
        <v>0</v>
      </c>
      <c r="AP198" s="261">
        <v>20000000</v>
      </c>
      <c r="AQ198" s="261"/>
      <c r="AS198" s="261"/>
    </row>
    <row r="199" spans="1:45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 t="shared" ref="D199:R199" si="100">SUM(D200:D201)</f>
        <v>0</v>
      </c>
      <c r="E199" s="9">
        <f t="shared" si="100"/>
        <v>0</v>
      </c>
      <c r="F199" s="9">
        <f t="shared" si="100"/>
        <v>0</v>
      </c>
      <c r="G199" s="9">
        <f t="shared" si="100"/>
        <v>45000000</v>
      </c>
      <c r="H199" s="9">
        <f t="shared" si="100"/>
        <v>0</v>
      </c>
      <c r="I199" s="9">
        <f t="shared" si="100"/>
        <v>11326287</v>
      </c>
      <c r="J199" s="9">
        <f t="shared" si="79"/>
        <v>33673713</v>
      </c>
      <c r="K199" s="9">
        <f t="shared" si="100"/>
        <v>0</v>
      </c>
      <c r="L199" s="9">
        <f t="shared" si="100"/>
        <v>11135247</v>
      </c>
      <c r="M199" s="9">
        <f t="shared" si="100"/>
        <v>191040</v>
      </c>
      <c r="N199" s="9">
        <f t="shared" si="100"/>
        <v>0</v>
      </c>
      <c r="O199" s="9">
        <f t="shared" si="100"/>
        <v>11326287</v>
      </c>
      <c r="P199" s="9">
        <f t="shared" si="100"/>
        <v>0</v>
      </c>
      <c r="Q199" s="9">
        <f t="shared" si="81"/>
        <v>33673713</v>
      </c>
      <c r="R199" s="9">
        <f t="shared" si="100"/>
        <v>11135247</v>
      </c>
      <c r="T199" s="183" t="s">
        <v>350</v>
      </c>
      <c r="U199" s="259" t="s">
        <v>148</v>
      </c>
      <c r="V199" s="261">
        <v>45000000</v>
      </c>
      <c r="W199" s="261">
        <v>0</v>
      </c>
      <c r="X199" s="261">
        <v>0</v>
      </c>
      <c r="Y199" s="261">
        <v>0</v>
      </c>
      <c r="Z199" s="261">
        <v>45000000</v>
      </c>
      <c r="AA199" s="261">
        <v>0</v>
      </c>
      <c r="AB199" s="261">
        <v>11326287</v>
      </c>
      <c r="AC199" s="261">
        <v>33673713</v>
      </c>
      <c r="AD199" s="261">
        <v>0</v>
      </c>
      <c r="AE199" s="261">
        <v>11135247</v>
      </c>
      <c r="AF199" s="261">
        <v>191040</v>
      </c>
      <c r="AG199" s="261">
        <v>0</v>
      </c>
      <c r="AH199" s="261">
        <v>11326287</v>
      </c>
      <c r="AI199" s="261">
        <v>0</v>
      </c>
      <c r="AJ199" s="261">
        <v>33673713</v>
      </c>
      <c r="AK199" s="261">
        <v>0</v>
      </c>
      <c r="AL199" s="261">
        <v>0</v>
      </c>
      <c r="AM199" s="261">
        <v>11326287</v>
      </c>
      <c r="AN199" s="261">
        <v>11326287</v>
      </c>
      <c r="AO199" s="261">
        <v>0</v>
      </c>
      <c r="AP199" s="261">
        <v>33673713</v>
      </c>
      <c r="AQ199" s="9"/>
      <c r="AS199" s="9"/>
    </row>
    <row r="200" spans="1:45" x14ac:dyDescent="0.25">
      <c r="A200" s="2" t="s">
        <v>351</v>
      </c>
      <c r="B200" s="259" t="s">
        <v>150</v>
      </c>
      <c r="C200" s="261">
        <v>21000000</v>
      </c>
      <c r="D200" s="261">
        <v>0</v>
      </c>
      <c r="E200" s="261">
        <v>0</v>
      </c>
      <c r="F200" s="261">
        <v>0</v>
      </c>
      <c r="G200" s="261">
        <f>+C200+D200-E200+F200</f>
        <v>21000000</v>
      </c>
      <c r="H200" s="261">
        <v>0</v>
      </c>
      <c r="I200" s="261">
        <v>0</v>
      </c>
      <c r="J200" s="261">
        <f t="shared" si="79"/>
        <v>21000000</v>
      </c>
      <c r="K200" s="261">
        <v>0</v>
      </c>
      <c r="L200" s="261">
        <v>0</v>
      </c>
      <c r="M200" s="261">
        <f t="shared" si="86"/>
        <v>0</v>
      </c>
      <c r="N200" s="261">
        <v>0</v>
      </c>
      <c r="O200" s="261">
        <v>0</v>
      </c>
      <c r="P200" s="261">
        <f t="shared" si="80"/>
        <v>0</v>
      </c>
      <c r="Q200" s="177">
        <f t="shared" si="81"/>
        <v>21000000</v>
      </c>
      <c r="R200" s="261">
        <f t="shared" si="82"/>
        <v>0</v>
      </c>
      <c r="T200" s="183" t="s">
        <v>351</v>
      </c>
      <c r="U200" s="259" t="s">
        <v>150</v>
      </c>
      <c r="V200" s="261">
        <v>21000000</v>
      </c>
      <c r="W200" s="261">
        <v>0</v>
      </c>
      <c r="X200" s="261">
        <v>0</v>
      </c>
      <c r="Y200" s="261">
        <v>0</v>
      </c>
      <c r="Z200" s="261">
        <v>21000000</v>
      </c>
      <c r="AA200" s="261">
        <v>0</v>
      </c>
      <c r="AB200" s="261">
        <v>0</v>
      </c>
      <c r="AC200" s="261">
        <v>21000000</v>
      </c>
      <c r="AD200" s="261">
        <v>0</v>
      </c>
      <c r="AE200" s="261">
        <v>0</v>
      </c>
      <c r="AF200" s="261">
        <v>0</v>
      </c>
      <c r="AG200" s="261">
        <v>0</v>
      </c>
      <c r="AH200" s="261">
        <v>0</v>
      </c>
      <c r="AI200" s="261">
        <v>0</v>
      </c>
      <c r="AJ200" s="261">
        <v>21000000</v>
      </c>
      <c r="AK200" s="261">
        <v>0</v>
      </c>
      <c r="AL200" s="261">
        <v>0</v>
      </c>
      <c r="AM200" s="261">
        <v>0</v>
      </c>
      <c r="AN200" s="261">
        <v>0</v>
      </c>
      <c r="AO200" s="261">
        <v>0</v>
      </c>
      <c r="AP200" s="261">
        <v>21000000</v>
      </c>
      <c r="AQ200" s="261"/>
      <c r="AS200" s="261"/>
    </row>
    <row r="201" spans="1:45" x14ac:dyDescent="0.25">
      <c r="A201" s="2" t="s">
        <v>352</v>
      </c>
      <c r="B201" s="259" t="s">
        <v>152</v>
      </c>
      <c r="C201" s="261">
        <v>24000000</v>
      </c>
      <c r="D201" s="261">
        <v>0</v>
      </c>
      <c r="E201" s="261">
        <v>0</v>
      </c>
      <c r="F201" s="261">
        <v>0</v>
      </c>
      <c r="G201" s="261">
        <f>+C201+D201-E201+F201</f>
        <v>24000000</v>
      </c>
      <c r="H201" s="261">
        <v>0</v>
      </c>
      <c r="I201" s="261">
        <v>11326287</v>
      </c>
      <c r="J201" s="261">
        <f t="shared" ref="J201:J264" si="101">+G201-I201</f>
        <v>12673713</v>
      </c>
      <c r="K201" s="261">
        <v>0</v>
      </c>
      <c r="L201" s="261">
        <v>11135247</v>
      </c>
      <c r="M201" s="261">
        <f t="shared" si="86"/>
        <v>191040</v>
      </c>
      <c r="N201" s="261">
        <v>0</v>
      </c>
      <c r="O201" s="261">
        <v>11326287</v>
      </c>
      <c r="P201" s="261">
        <f t="shared" ref="P201:P265" si="102">+O201-I201</f>
        <v>0</v>
      </c>
      <c r="Q201" s="177">
        <f t="shared" ref="Q201:Q264" si="103">+G201-O201</f>
        <v>12673713</v>
      </c>
      <c r="R201" s="261">
        <f t="shared" ref="R201:R265" si="104">+L201</f>
        <v>11135247</v>
      </c>
      <c r="T201" s="183" t="s">
        <v>352</v>
      </c>
      <c r="U201" s="259" t="s">
        <v>152</v>
      </c>
      <c r="V201" s="261">
        <v>24000000</v>
      </c>
      <c r="W201" s="261">
        <v>0</v>
      </c>
      <c r="X201" s="261">
        <v>0</v>
      </c>
      <c r="Y201" s="261">
        <v>0</v>
      </c>
      <c r="Z201" s="261">
        <v>24000000</v>
      </c>
      <c r="AA201" s="261">
        <v>0</v>
      </c>
      <c r="AB201" s="261">
        <v>11326287</v>
      </c>
      <c r="AC201" s="261">
        <v>12673713</v>
      </c>
      <c r="AD201" s="261">
        <v>0</v>
      </c>
      <c r="AE201" s="261">
        <v>11135247</v>
      </c>
      <c r="AF201" s="261">
        <v>191040</v>
      </c>
      <c r="AG201" s="261">
        <v>0</v>
      </c>
      <c r="AH201" s="261">
        <v>11326287</v>
      </c>
      <c r="AI201" s="261">
        <v>0</v>
      </c>
      <c r="AJ201" s="261">
        <v>12673713</v>
      </c>
      <c r="AK201" s="261">
        <v>0</v>
      </c>
      <c r="AL201" s="261">
        <v>0</v>
      </c>
      <c r="AM201" s="261">
        <v>11326287</v>
      </c>
      <c r="AN201" s="261">
        <v>11326287</v>
      </c>
      <c r="AO201" s="261">
        <v>0</v>
      </c>
      <c r="AP201" s="261">
        <v>12673713</v>
      </c>
      <c r="AQ201" s="261"/>
      <c r="AS201" s="261"/>
    </row>
    <row r="202" spans="1:45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 t="shared" ref="D202:R202" si="105">SUM(D203:D206)</f>
        <v>0</v>
      </c>
      <c r="E202" s="9">
        <f t="shared" si="105"/>
        <v>0</v>
      </c>
      <c r="F202" s="9">
        <f t="shared" si="105"/>
        <v>0</v>
      </c>
      <c r="G202" s="9">
        <f t="shared" si="105"/>
        <v>23500000</v>
      </c>
      <c r="H202" s="9">
        <f t="shared" si="105"/>
        <v>0</v>
      </c>
      <c r="I202" s="9">
        <f t="shared" si="105"/>
        <v>50700</v>
      </c>
      <c r="J202" s="9">
        <f t="shared" si="101"/>
        <v>23449300</v>
      </c>
      <c r="K202" s="9">
        <f t="shared" si="105"/>
        <v>0</v>
      </c>
      <c r="L202" s="9">
        <f t="shared" si="105"/>
        <v>50700</v>
      </c>
      <c r="M202" s="9">
        <f t="shared" si="105"/>
        <v>0</v>
      </c>
      <c r="N202" s="9">
        <f t="shared" si="105"/>
        <v>0</v>
      </c>
      <c r="O202" s="9">
        <f t="shared" si="105"/>
        <v>50700</v>
      </c>
      <c r="P202" s="9">
        <f t="shared" si="105"/>
        <v>0</v>
      </c>
      <c r="Q202" s="9">
        <f t="shared" si="103"/>
        <v>23449300</v>
      </c>
      <c r="R202" s="9">
        <f t="shared" si="105"/>
        <v>50700</v>
      </c>
      <c r="T202" s="183" t="s">
        <v>353</v>
      </c>
      <c r="U202" s="259" t="s">
        <v>154</v>
      </c>
      <c r="V202" s="261">
        <v>23500000</v>
      </c>
      <c r="W202" s="261">
        <v>0</v>
      </c>
      <c r="X202" s="261">
        <v>0</v>
      </c>
      <c r="Y202" s="261">
        <v>0</v>
      </c>
      <c r="Z202" s="261">
        <v>23500000</v>
      </c>
      <c r="AA202" s="261">
        <v>0</v>
      </c>
      <c r="AB202" s="261">
        <v>50700</v>
      </c>
      <c r="AC202" s="261">
        <v>23449300</v>
      </c>
      <c r="AD202" s="261">
        <v>0</v>
      </c>
      <c r="AE202" s="261">
        <v>50700</v>
      </c>
      <c r="AF202" s="261">
        <v>0</v>
      </c>
      <c r="AG202" s="261">
        <v>0</v>
      </c>
      <c r="AH202" s="261">
        <v>50700</v>
      </c>
      <c r="AI202" s="261">
        <v>0</v>
      </c>
      <c r="AJ202" s="261">
        <v>23449300</v>
      </c>
      <c r="AK202" s="261">
        <v>0</v>
      </c>
      <c r="AL202" s="261">
        <v>0</v>
      </c>
      <c r="AM202" s="261">
        <v>50700</v>
      </c>
      <c r="AN202" s="261">
        <v>50700</v>
      </c>
      <c r="AO202" s="261">
        <v>0</v>
      </c>
      <c r="AP202" s="261">
        <v>23449300</v>
      </c>
      <c r="AQ202" s="9"/>
      <c r="AS202" s="9"/>
    </row>
    <row r="203" spans="1:45" x14ac:dyDescent="0.25">
      <c r="A203" s="2" t="s">
        <v>354</v>
      </c>
      <c r="B203" s="259" t="s">
        <v>355</v>
      </c>
      <c r="C203" s="261">
        <v>2000000</v>
      </c>
      <c r="D203" s="261">
        <v>0</v>
      </c>
      <c r="E203" s="261">
        <v>0</v>
      </c>
      <c r="F203" s="261">
        <v>0</v>
      </c>
      <c r="G203" s="261">
        <f>+C203+D203-E203+F203</f>
        <v>2000000</v>
      </c>
      <c r="H203" s="261">
        <v>0</v>
      </c>
      <c r="I203" s="261">
        <v>0</v>
      </c>
      <c r="J203" s="261">
        <f t="shared" si="101"/>
        <v>2000000</v>
      </c>
      <c r="K203" s="261">
        <v>0</v>
      </c>
      <c r="L203" s="261">
        <v>0</v>
      </c>
      <c r="M203" s="261">
        <f t="shared" ref="M203:M267" si="106">+I203-L203</f>
        <v>0</v>
      </c>
      <c r="N203" s="261">
        <v>0</v>
      </c>
      <c r="O203" s="261">
        <v>0</v>
      </c>
      <c r="P203" s="261">
        <f t="shared" si="102"/>
        <v>0</v>
      </c>
      <c r="Q203" s="177">
        <f t="shared" si="103"/>
        <v>2000000</v>
      </c>
      <c r="R203" s="261">
        <f t="shared" si="104"/>
        <v>0</v>
      </c>
      <c r="T203" s="183" t="s">
        <v>354</v>
      </c>
      <c r="U203" s="259" t="s">
        <v>355</v>
      </c>
      <c r="V203" s="261">
        <v>2000000</v>
      </c>
      <c r="W203" s="261">
        <v>0</v>
      </c>
      <c r="X203" s="261">
        <v>0</v>
      </c>
      <c r="Y203" s="261">
        <v>0</v>
      </c>
      <c r="Z203" s="261">
        <v>2000000</v>
      </c>
      <c r="AA203" s="261">
        <v>0</v>
      </c>
      <c r="AB203" s="261">
        <v>0</v>
      </c>
      <c r="AC203" s="261">
        <v>2000000</v>
      </c>
      <c r="AD203" s="261">
        <v>0</v>
      </c>
      <c r="AE203" s="261">
        <v>0</v>
      </c>
      <c r="AF203" s="261">
        <v>0</v>
      </c>
      <c r="AG203" s="261">
        <v>0</v>
      </c>
      <c r="AH203" s="261">
        <v>0</v>
      </c>
      <c r="AI203" s="261">
        <v>0</v>
      </c>
      <c r="AJ203" s="261">
        <v>2000000</v>
      </c>
      <c r="AK203" s="261">
        <v>0</v>
      </c>
      <c r="AL203" s="261">
        <v>0</v>
      </c>
      <c r="AM203" s="261">
        <v>0</v>
      </c>
      <c r="AN203" s="261">
        <v>0</v>
      </c>
      <c r="AO203" s="261">
        <v>0</v>
      </c>
      <c r="AP203" s="261">
        <v>2000000</v>
      </c>
      <c r="AQ203" s="261"/>
      <c r="AS203" s="261"/>
    </row>
    <row r="204" spans="1:45" x14ac:dyDescent="0.25">
      <c r="A204" s="2" t="s">
        <v>356</v>
      </c>
      <c r="B204" s="259" t="s">
        <v>158</v>
      </c>
      <c r="C204" s="261">
        <v>2000000</v>
      </c>
      <c r="D204" s="261">
        <v>0</v>
      </c>
      <c r="E204" s="261">
        <v>0</v>
      </c>
      <c r="F204" s="261">
        <v>0</v>
      </c>
      <c r="G204" s="261">
        <f>+C204+D204-E204+F204</f>
        <v>2000000</v>
      </c>
      <c r="H204" s="261">
        <v>0</v>
      </c>
      <c r="I204" s="261">
        <v>0</v>
      </c>
      <c r="J204" s="261">
        <f t="shared" si="101"/>
        <v>2000000</v>
      </c>
      <c r="K204" s="261">
        <v>0</v>
      </c>
      <c r="L204" s="261">
        <v>0</v>
      </c>
      <c r="M204" s="261">
        <f t="shared" si="106"/>
        <v>0</v>
      </c>
      <c r="N204" s="261">
        <v>0</v>
      </c>
      <c r="O204" s="261">
        <v>0</v>
      </c>
      <c r="P204" s="261">
        <f t="shared" si="102"/>
        <v>0</v>
      </c>
      <c r="Q204" s="177">
        <f t="shared" si="103"/>
        <v>2000000</v>
      </c>
      <c r="R204" s="261">
        <f t="shared" si="104"/>
        <v>0</v>
      </c>
      <c r="T204" s="183" t="s">
        <v>356</v>
      </c>
      <c r="U204" s="259" t="s">
        <v>158</v>
      </c>
      <c r="V204" s="261">
        <v>2000000</v>
      </c>
      <c r="W204" s="261">
        <v>0</v>
      </c>
      <c r="X204" s="261">
        <v>0</v>
      </c>
      <c r="Y204" s="261">
        <v>0</v>
      </c>
      <c r="Z204" s="261">
        <v>2000000</v>
      </c>
      <c r="AA204" s="261">
        <v>0</v>
      </c>
      <c r="AB204" s="261">
        <v>0</v>
      </c>
      <c r="AC204" s="261">
        <v>2000000</v>
      </c>
      <c r="AD204" s="261">
        <v>0</v>
      </c>
      <c r="AE204" s="261">
        <v>0</v>
      </c>
      <c r="AF204" s="261">
        <v>0</v>
      </c>
      <c r="AG204" s="261">
        <v>0</v>
      </c>
      <c r="AH204" s="261">
        <v>0</v>
      </c>
      <c r="AI204" s="261">
        <v>0</v>
      </c>
      <c r="AJ204" s="261">
        <v>2000000</v>
      </c>
      <c r="AK204" s="261">
        <v>0</v>
      </c>
      <c r="AL204" s="261">
        <v>0</v>
      </c>
      <c r="AM204" s="261">
        <v>0</v>
      </c>
      <c r="AN204" s="261">
        <v>0</v>
      </c>
      <c r="AO204" s="261">
        <v>0</v>
      </c>
      <c r="AP204" s="261">
        <v>2000000</v>
      </c>
      <c r="AQ204" s="261"/>
      <c r="AS204" s="261"/>
    </row>
    <row r="205" spans="1:45" x14ac:dyDescent="0.25">
      <c r="A205" s="2" t="s">
        <v>357</v>
      </c>
      <c r="B205" s="259" t="s">
        <v>160</v>
      </c>
      <c r="C205" s="261">
        <v>1000000</v>
      </c>
      <c r="D205" s="261">
        <v>0</v>
      </c>
      <c r="E205" s="261">
        <v>0</v>
      </c>
      <c r="F205" s="261">
        <v>0</v>
      </c>
      <c r="G205" s="261">
        <f>+C205+D205-E205+F205</f>
        <v>1000000</v>
      </c>
      <c r="H205" s="261">
        <v>0</v>
      </c>
      <c r="I205" s="261">
        <v>0</v>
      </c>
      <c r="J205" s="261">
        <f t="shared" si="101"/>
        <v>1000000</v>
      </c>
      <c r="K205" s="261">
        <v>0</v>
      </c>
      <c r="L205" s="261">
        <v>0</v>
      </c>
      <c r="M205" s="261">
        <f t="shared" si="106"/>
        <v>0</v>
      </c>
      <c r="N205" s="261">
        <v>0</v>
      </c>
      <c r="O205" s="261">
        <v>0</v>
      </c>
      <c r="P205" s="261">
        <f t="shared" si="102"/>
        <v>0</v>
      </c>
      <c r="Q205" s="177">
        <f t="shared" si="103"/>
        <v>1000000</v>
      </c>
      <c r="R205" s="261">
        <f t="shared" si="104"/>
        <v>0</v>
      </c>
      <c r="T205" s="183" t="s">
        <v>357</v>
      </c>
      <c r="U205" s="259" t="s">
        <v>160</v>
      </c>
      <c r="V205" s="261">
        <v>1000000</v>
      </c>
      <c r="W205" s="261">
        <v>0</v>
      </c>
      <c r="X205" s="261">
        <v>0</v>
      </c>
      <c r="Y205" s="261">
        <v>0</v>
      </c>
      <c r="Z205" s="261">
        <v>1000000</v>
      </c>
      <c r="AA205" s="261">
        <v>0</v>
      </c>
      <c r="AB205" s="261">
        <v>0</v>
      </c>
      <c r="AC205" s="261">
        <v>1000000</v>
      </c>
      <c r="AD205" s="261">
        <v>0</v>
      </c>
      <c r="AE205" s="261">
        <v>0</v>
      </c>
      <c r="AF205" s="261">
        <v>0</v>
      </c>
      <c r="AG205" s="261">
        <v>0</v>
      </c>
      <c r="AH205" s="261">
        <v>0</v>
      </c>
      <c r="AI205" s="261">
        <v>0</v>
      </c>
      <c r="AJ205" s="261">
        <v>1000000</v>
      </c>
      <c r="AK205" s="261">
        <v>0</v>
      </c>
      <c r="AL205" s="261">
        <v>0</v>
      </c>
      <c r="AM205" s="261">
        <v>0</v>
      </c>
      <c r="AN205" s="261">
        <v>0</v>
      </c>
      <c r="AO205" s="261">
        <v>0</v>
      </c>
      <c r="AP205" s="261">
        <v>1000000</v>
      </c>
      <c r="AQ205" s="261"/>
      <c r="AS205" s="261"/>
    </row>
    <row r="206" spans="1:45" x14ac:dyDescent="0.25">
      <c r="A206" s="2" t="s">
        <v>358</v>
      </c>
      <c r="B206" s="259" t="s">
        <v>162</v>
      </c>
      <c r="C206" s="261">
        <v>18500000</v>
      </c>
      <c r="D206" s="261">
        <v>0</v>
      </c>
      <c r="E206" s="261">
        <v>0</v>
      </c>
      <c r="F206" s="261">
        <v>0</v>
      </c>
      <c r="G206" s="261">
        <f>+C206+D206-E206+F206</f>
        <v>18500000</v>
      </c>
      <c r="H206" s="261">
        <v>0</v>
      </c>
      <c r="I206" s="261">
        <v>50700</v>
      </c>
      <c r="J206" s="261">
        <f t="shared" si="101"/>
        <v>18449300</v>
      </c>
      <c r="K206" s="261">
        <v>0</v>
      </c>
      <c r="L206" s="261">
        <v>50700</v>
      </c>
      <c r="M206" s="261">
        <f t="shared" si="106"/>
        <v>0</v>
      </c>
      <c r="N206" s="261">
        <v>0</v>
      </c>
      <c r="O206" s="261">
        <v>50700</v>
      </c>
      <c r="P206" s="261">
        <f t="shared" si="102"/>
        <v>0</v>
      </c>
      <c r="Q206" s="177">
        <f t="shared" si="103"/>
        <v>18449300</v>
      </c>
      <c r="R206" s="261">
        <f t="shared" si="104"/>
        <v>50700</v>
      </c>
      <c r="T206" s="183" t="s">
        <v>358</v>
      </c>
      <c r="U206" s="259" t="s">
        <v>162</v>
      </c>
      <c r="V206" s="261">
        <v>18500000</v>
      </c>
      <c r="W206" s="261">
        <v>0</v>
      </c>
      <c r="X206" s="261">
        <v>0</v>
      </c>
      <c r="Y206" s="261">
        <v>0</v>
      </c>
      <c r="Z206" s="261">
        <v>18500000</v>
      </c>
      <c r="AA206" s="261">
        <v>0</v>
      </c>
      <c r="AB206" s="261">
        <v>50700</v>
      </c>
      <c r="AC206" s="261">
        <v>18449300</v>
      </c>
      <c r="AD206" s="261">
        <v>0</v>
      </c>
      <c r="AE206" s="261">
        <v>50700</v>
      </c>
      <c r="AF206" s="261">
        <v>0</v>
      </c>
      <c r="AG206" s="261">
        <v>0</v>
      </c>
      <c r="AH206" s="261">
        <v>50700</v>
      </c>
      <c r="AI206" s="261">
        <v>0</v>
      </c>
      <c r="AJ206" s="261">
        <v>18449300</v>
      </c>
      <c r="AK206" s="261">
        <v>0</v>
      </c>
      <c r="AL206" s="261">
        <v>0</v>
      </c>
      <c r="AM206" s="261">
        <v>50700</v>
      </c>
      <c r="AN206" s="261">
        <v>50700</v>
      </c>
      <c r="AO206" s="261">
        <v>0</v>
      </c>
      <c r="AP206" s="261">
        <v>18449300</v>
      </c>
      <c r="AQ206" s="261"/>
      <c r="AS206" s="261"/>
    </row>
    <row r="207" spans="1:45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 t="shared" ref="D207:R207" si="107">+D208+D223+D240+D270+D280</f>
        <v>1883032905</v>
      </c>
      <c r="E207" s="6">
        <f t="shared" si="107"/>
        <v>85000000</v>
      </c>
      <c r="F207" s="6">
        <f t="shared" si="107"/>
        <v>0</v>
      </c>
      <c r="G207" s="6">
        <f t="shared" si="107"/>
        <v>10259734731</v>
      </c>
      <c r="H207" s="6">
        <f t="shared" si="107"/>
        <v>853486490.32999992</v>
      </c>
      <c r="I207" s="6">
        <f t="shared" si="107"/>
        <v>5861522975.1500006</v>
      </c>
      <c r="J207" s="6">
        <f t="shared" si="101"/>
        <v>4398211755.8499994</v>
      </c>
      <c r="K207" s="6">
        <f t="shared" si="107"/>
        <v>662694171.95000005</v>
      </c>
      <c r="L207" s="6">
        <f t="shared" si="107"/>
        <v>2475102435.7200003</v>
      </c>
      <c r="M207" s="6">
        <f t="shared" si="107"/>
        <v>3386420539.4300003</v>
      </c>
      <c r="N207" s="6">
        <f t="shared" si="107"/>
        <v>1319127446.5999999</v>
      </c>
      <c r="O207" s="6">
        <f t="shared" si="107"/>
        <v>8788757371.7700005</v>
      </c>
      <c r="P207" s="6">
        <f t="shared" si="107"/>
        <v>2927234396.6199999</v>
      </c>
      <c r="Q207" s="6">
        <f t="shared" si="103"/>
        <v>1470977359.2299995</v>
      </c>
      <c r="R207" s="6">
        <f t="shared" si="107"/>
        <v>2475102435.7200003</v>
      </c>
      <c r="T207" s="183" t="s">
        <v>359</v>
      </c>
      <c r="U207" s="259" t="s">
        <v>360</v>
      </c>
      <c r="V207" s="261">
        <v>8268383174</v>
      </c>
      <c r="W207" s="261">
        <v>1783032905</v>
      </c>
      <c r="X207" s="261">
        <v>85000000</v>
      </c>
      <c r="Y207" s="261">
        <v>0</v>
      </c>
      <c r="Z207" s="261">
        <v>9966416079</v>
      </c>
      <c r="AA207" s="261">
        <v>791987925.32999992</v>
      </c>
      <c r="AB207" s="261">
        <v>5661234001.1499996</v>
      </c>
      <c r="AC207" s="261">
        <v>4305182077.8500004</v>
      </c>
      <c r="AD207" s="261">
        <v>608323269.95000005</v>
      </c>
      <c r="AE207" s="261">
        <v>2287972404.7199998</v>
      </c>
      <c r="AF207" s="261">
        <v>3422186542.4299998</v>
      </c>
      <c r="AG207" s="261">
        <v>1258386149.5999999</v>
      </c>
      <c r="AH207" s="261">
        <v>8578466746.7700005</v>
      </c>
      <c r="AI207" s="261">
        <v>2917232745.6200008</v>
      </c>
      <c r="AJ207" s="261">
        <v>1387949332.2299995</v>
      </c>
      <c r="AK207" s="261">
        <v>267474074</v>
      </c>
      <c r="AL207" s="261">
        <v>1146738726.5999999</v>
      </c>
      <c r="AM207" s="261">
        <v>8817215397.7700005</v>
      </c>
      <c r="AN207" s="261">
        <v>8549741323.7700005</v>
      </c>
      <c r="AO207" s="261">
        <v>3212804405.3500004</v>
      </c>
      <c r="AP207" s="261">
        <v>1416674755.2299995</v>
      </c>
      <c r="AQ207" s="6"/>
      <c r="AS207" s="6"/>
    </row>
    <row r="208" spans="1:45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 t="shared" ref="D208:R208" si="108">+D209+D214+D217+D220+D219+D216</f>
        <v>36000000</v>
      </c>
      <c r="E208" s="9">
        <f t="shared" si="108"/>
        <v>85000000</v>
      </c>
      <c r="F208" s="9">
        <f t="shared" si="108"/>
        <v>0</v>
      </c>
      <c r="G208" s="9">
        <f t="shared" si="108"/>
        <v>1032626869</v>
      </c>
      <c r="H208" s="9">
        <f t="shared" si="108"/>
        <v>84415654</v>
      </c>
      <c r="I208" s="9">
        <f t="shared" si="108"/>
        <v>495483549.44999999</v>
      </c>
      <c r="J208" s="9">
        <f t="shared" si="101"/>
        <v>537143319.54999995</v>
      </c>
      <c r="K208" s="9">
        <f t="shared" si="108"/>
        <v>93696654.090000004</v>
      </c>
      <c r="L208" s="9">
        <f t="shared" si="108"/>
        <v>416510314.53999996</v>
      </c>
      <c r="M208" s="9">
        <f t="shared" si="108"/>
        <v>78973234.909999996</v>
      </c>
      <c r="N208" s="9">
        <f t="shared" si="108"/>
        <v>70694474</v>
      </c>
      <c r="O208" s="9">
        <f t="shared" si="108"/>
        <v>534545743.44999999</v>
      </c>
      <c r="P208" s="9">
        <f t="shared" si="108"/>
        <v>39062194</v>
      </c>
      <c r="Q208" s="9">
        <f t="shared" si="103"/>
        <v>498081125.55000001</v>
      </c>
      <c r="R208" s="9">
        <f t="shared" si="108"/>
        <v>416510314.53999996</v>
      </c>
      <c r="T208" s="183" t="s">
        <v>361</v>
      </c>
      <c r="U208" s="259" t="s">
        <v>362</v>
      </c>
      <c r="V208" s="261">
        <v>1081626869</v>
      </c>
      <c r="W208" s="261">
        <v>36000000</v>
      </c>
      <c r="X208" s="261">
        <v>85000000</v>
      </c>
      <c r="Y208" s="261">
        <v>0</v>
      </c>
      <c r="Z208" s="261">
        <v>1032626869</v>
      </c>
      <c r="AA208" s="261">
        <v>84415654</v>
      </c>
      <c r="AB208" s="261">
        <v>495483549.45000005</v>
      </c>
      <c r="AC208" s="261">
        <v>537143319.54999995</v>
      </c>
      <c r="AD208" s="261">
        <v>93696654.090000004</v>
      </c>
      <c r="AE208" s="261">
        <v>416510314.53999996</v>
      </c>
      <c r="AF208" s="261">
        <v>124898180.91000009</v>
      </c>
      <c r="AG208" s="261">
        <v>70694474</v>
      </c>
      <c r="AH208" s="261">
        <v>534545743.45000005</v>
      </c>
      <c r="AI208" s="261">
        <v>39062194</v>
      </c>
      <c r="AJ208" s="261">
        <v>498081125.54999995</v>
      </c>
      <c r="AK208" s="261">
        <v>6624074</v>
      </c>
      <c r="AL208" s="261">
        <v>22397819</v>
      </c>
      <c r="AM208" s="261">
        <v>492873162.44999999</v>
      </c>
      <c r="AN208" s="261">
        <v>486249088.44999999</v>
      </c>
      <c r="AO208" s="261">
        <v>52403213</v>
      </c>
      <c r="AP208" s="261">
        <v>546377780.54999995</v>
      </c>
      <c r="AQ208" s="9"/>
      <c r="AS208" s="9"/>
    </row>
    <row r="209" spans="1:45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 t="shared" ref="D209:R209" si="109">SUM(D210:D213)</f>
        <v>36000000</v>
      </c>
      <c r="E209" s="9">
        <f t="shared" si="109"/>
        <v>0</v>
      </c>
      <c r="F209" s="9">
        <f t="shared" si="109"/>
        <v>0</v>
      </c>
      <c r="G209" s="9">
        <f t="shared" si="109"/>
        <v>140091432</v>
      </c>
      <c r="H209" s="9">
        <f t="shared" si="109"/>
        <v>180000</v>
      </c>
      <c r="I209" s="9">
        <f t="shared" si="109"/>
        <v>98110000</v>
      </c>
      <c r="J209" s="9">
        <f t="shared" si="101"/>
        <v>41981432</v>
      </c>
      <c r="K209" s="9">
        <f t="shared" si="109"/>
        <v>7625500.0899999999</v>
      </c>
      <c r="L209" s="9">
        <f t="shared" si="109"/>
        <v>22365060.09</v>
      </c>
      <c r="M209" s="9">
        <f t="shared" si="109"/>
        <v>75744939.909999996</v>
      </c>
      <c r="N209" s="9">
        <f t="shared" si="109"/>
        <v>180000</v>
      </c>
      <c r="O209" s="9">
        <f t="shared" si="109"/>
        <v>108110000</v>
      </c>
      <c r="P209" s="9">
        <f t="shared" si="109"/>
        <v>10000000</v>
      </c>
      <c r="Q209" s="9">
        <f t="shared" si="103"/>
        <v>31981432</v>
      </c>
      <c r="R209" s="9">
        <f t="shared" si="109"/>
        <v>22365060.09</v>
      </c>
      <c r="T209" s="183" t="s">
        <v>363</v>
      </c>
      <c r="U209" s="259" t="s">
        <v>364</v>
      </c>
      <c r="V209" s="261">
        <v>104091432</v>
      </c>
      <c r="W209" s="261">
        <v>36000000</v>
      </c>
      <c r="X209" s="261">
        <v>0</v>
      </c>
      <c r="Y209" s="261">
        <v>0</v>
      </c>
      <c r="Z209" s="261">
        <v>140091432</v>
      </c>
      <c r="AA209" s="261">
        <v>180000</v>
      </c>
      <c r="AB209" s="261">
        <v>98110000</v>
      </c>
      <c r="AC209" s="261">
        <v>41981432</v>
      </c>
      <c r="AD209" s="261">
        <v>7625500.0899999999</v>
      </c>
      <c r="AE209" s="261">
        <v>22365060.09</v>
      </c>
      <c r="AF209" s="261">
        <v>75744939.909999996</v>
      </c>
      <c r="AG209" s="261">
        <v>180000</v>
      </c>
      <c r="AH209" s="261">
        <v>108110000</v>
      </c>
      <c r="AI209" s="261">
        <v>10000000</v>
      </c>
      <c r="AJ209" s="261">
        <v>31981432</v>
      </c>
      <c r="AK209" s="261">
        <v>0</v>
      </c>
      <c r="AL209" s="261">
        <v>0</v>
      </c>
      <c r="AM209" s="261">
        <v>107930000</v>
      </c>
      <c r="AN209" s="261">
        <v>107930000</v>
      </c>
      <c r="AO209" s="261">
        <v>10000000</v>
      </c>
      <c r="AP209" s="261">
        <v>32161432</v>
      </c>
      <c r="AQ209" s="9"/>
      <c r="AS209" s="9"/>
    </row>
    <row r="210" spans="1:45" x14ac:dyDescent="0.25">
      <c r="A210" s="2" t="s">
        <v>365</v>
      </c>
      <c r="B210" s="259" t="s">
        <v>366</v>
      </c>
      <c r="C210" s="261">
        <v>18995261</v>
      </c>
      <c r="D210" s="261">
        <v>10000000</v>
      </c>
      <c r="E210" s="261">
        <v>0</v>
      </c>
      <c r="F210" s="261">
        <v>0</v>
      </c>
      <c r="G210" s="261">
        <f>+C210+D210-E210+F210</f>
        <v>28995261</v>
      </c>
      <c r="H210" s="261">
        <v>0</v>
      </c>
      <c r="I210" s="261">
        <v>9595261</v>
      </c>
      <c r="J210" s="261">
        <f t="shared" si="101"/>
        <v>19400000</v>
      </c>
      <c r="K210" s="261">
        <v>4985701</v>
      </c>
      <c r="L210" s="261">
        <v>8995261</v>
      </c>
      <c r="M210" s="261">
        <f t="shared" si="106"/>
        <v>600000</v>
      </c>
      <c r="N210" s="261">
        <v>0</v>
      </c>
      <c r="O210" s="261">
        <v>19595261</v>
      </c>
      <c r="P210" s="261">
        <f t="shared" si="102"/>
        <v>10000000</v>
      </c>
      <c r="Q210" s="177">
        <f t="shared" si="103"/>
        <v>9400000</v>
      </c>
      <c r="R210" s="261">
        <f t="shared" si="104"/>
        <v>8995261</v>
      </c>
      <c r="T210" s="183" t="s">
        <v>365</v>
      </c>
      <c r="U210" s="259" t="s">
        <v>366</v>
      </c>
      <c r="V210" s="261">
        <v>18995261</v>
      </c>
      <c r="W210" s="261">
        <v>10000000</v>
      </c>
      <c r="X210" s="261">
        <v>0</v>
      </c>
      <c r="Y210" s="261">
        <v>0</v>
      </c>
      <c r="Z210" s="261">
        <v>28995261</v>
      </c>
      <c r="AA210" s="261">
        <v>0</v>
      </c>
      <c r="AB210" s="261">
        <v>9595261</v>
      </c>
      <c r="AC210" s="261">
        <v>19400000</v>
      </c>
      <c r="AD210" s="261">
        <v>4985701</v>
      </c>
      <c r="AE210" s="261">
        <v>8995261</v>
      </c>
      <c r="AF210" s="261">
        <v>600000</v>
      </c>
      <c r="AG210" s="261">
        <v>0</v>
      </c>
      <c r="AH210" s="261">
        <v>19595261</v>
      </c>
      <c r="AI210" s="261">
        <v>10000000</v>
      </c>
      <c r="AJ210" s="261">
        <v>9400000</v>
      </c>
      <c r="AK210" s="261">
        <v>0</v>
      </c>
      <c r="AL210" s="261">
        <v>0</v>
      </c>
      <c r="AM210" s="261">
        <v>19595261</v>
      </c>
      <c r="AN210" s="261">
        <v>19595261</v>
      </c>
      <c r="AO210" s="261">
        <v>10000000</v>
      </c>
      <c r="AP210" s="261">
        <v>9400000</v>
      </c>
      <c r="AQ210" s="261"/>
      <c r="AS210" s="261"/>
    </row>
    <row r="211" spans="1:45" x14ac:dyDescent="0.25">
      <c r="A211" s="2" t="s">
        <v>367</v>
      </c>
      <c r="B211" s="259" t="s">
        <v>368</v>
      </c>
      <c r="C211" s="261">
        <v>8500000</v>
      </c>
      <c r="D211" s="261">
        <v>10000000</v>
      </c>
      <c r="E211" s="261">
        <v>0</v>
      </c>
      <c r="F211" s="261">
        <v>0</v>
      </c>
      <c r="G211" s="261">
        <f>+C211+D211-E211+F211</f>
        <v>18500000</v>
      </c>
      <c r="H211" s="261">
        <v>0</v>
      </c>
      <c r="I211" s="261">
        <v>13500000</v>
      </c>
      <c r="J211" s="261">
        <f t="shared" si="101"/>
        <v>5000000</v>
      </c>
      <c r="K211" s="261">
        <v>2639799.09</v>
      </c>
      <c r="L211" s="261">
        <v>7639799.0899999999</v>
      </c>
      <c r="M211" s="261">
        <f t="shared" si="106"/>
        <v>5860200.9100000001</v>
      </c>
      <c r="N211" s="261">
        <v>0</v>
      </c>
      <c r="O211" s="261">
        <v>13500000</v>
      </c>
      <c r="P211" s="261">
        <f t="shared" si="102"/>
        <v>0</v>
      </c>
      <c r="Q211" s="177">
        <f t="shared" si="103"/>
        <v>5000000</v>
      </c>
      <c r="R211" s="261">
        <f t="shared" si="104"/>
        <v>7639799.0899999999</v>
      </c>
      <c r="T211" s="183" t="s">
        <v>367</v>
      </c>
      <c r="U211" s="259" t="s">
        <v>368</v>
      </c>
      <c r="V211" s="261">
        <v>8500000</v>
      </c>
      <c r="W211" s="261">
        <v>10000000</v>
      </c>
      <c r="X211" s="261">
        <v>0</v>
      </c>
      <c r="Y211" s="261">
        <v>0</v>
      </c>
      <c r="Z211" s="261">
        <v>18500000</v>
      </c>
      <c r="AA211" s="261">
        <v>0</v>
      </c>
      <c r="AB211" s="261">
        <v>13500000</v>
      </c>
      <c r="AC211" s="261">
        <v>5000000</v>
      </c>
      <c r="AD211" s="261">
        <v>2639799.09</v>
      </c>
      <c r="AE211" s="261">
        <v>7639799.0899999999</v>
      </c>
      <c r="AF211" s="261">
        <v>5860200.9100000001</v>
      </c>
      <c r="AG211" s="261">
        <v>0</v>
      </c>
      <c r="AH211" s="261">
        <v>13500000</v>
      </c>
      <c r="AI211" s="261">
        <v>0</v>
      </c>
      <c r="AJ211" s="261">
        <v>5000000</v>
      </c>
      <c r="AK211" s="261">
        <v>0</v>
      </c>
      <c r="AL211" s="261">
        <v>0</v>
      </c>
      <c r="AM211" s="261">
        <v>13500000</v>
      </c>
      <c r="AN211" s="261">
        <v>13500000</v>
      </c>
      <c r="AO211" s="261">
        <v>0</v>
      </c>
      <c r="AP211" s="261">
        <v>5000000</v>
      </c>
      <c r="AQ211" s="261"/>
      <c r="AS211" s="261"/>
    </row>
    <row r="212" spans="1:45" x14ac:dyDescent="0.25">
      <c r="A212" s="2" t="s">
        <v>369</v>
      </c>
      <c r="B212" s="259" t="s">
        <v>370</v>
      </c>
      <c r="C212" s="261">
        <v>66596171</v>
      </c>
      <c r="D212" s="261">
        <f>6000000+10000000</f>
        <v>16000000</v>
      </c>
      <c r="E212" s="261">
        <v>0</v>
      </c>
      <c r="F212" s="261">
        <v>0</v>
      </c>
      <c r="G212" s="261">
        <f>+C212+D212-E212+F212</f>
        <v>82596171</v>
      </c>
      <c r="H212" s="261">
        <v>180000</v>
      </c>
      <c r="I212" s="261">
        <v>73106171</v>
      </c>
      <c r="J212" s="261">
        <f t="shared" si="101"/>
        <v>9490000</v>
      </c>
      <c r="K212" s="261">
        <v>0</v>
      </c>
      <c r="L212" s="261">
        <v>5730000</v>
      </c>
      <c r="M212" s="261">
        <f t="shared" si="106"/>
        <v>67376171</v>
      </c>
      <c r="N212" s="261">
        <v>180000</v>
      </c>
      <c r="O212" s="261">
        <v>73106171</v>
      </c>
      <c r="P212" s="261">
        <f t="shared" si="102"/>
        <v>0</v>
      </c>
      <c r="Q212" s="177">
        <f t="shared" si="103"/>
        <v>9490000</v>
      </c>
      <c r="R212" s="261">
        <f t="shared" si="104"/>
        <v>5730000</v>
      </c>
      <c r="T212" s="183" t="s">
        <v>369</v>
      </c>
      <c r="U212" s="259" t="s">
        <v>370</v>
      </c>
      <c r="V212" s="261">
        <v>66596171</v>
      </c>
      <c r="W212" s="261">
        <v>16000000</v>
      </c>
      <c r="X212" s="261">
        <v>0</v>
      </c>
      <c r="Y212" s="261">
        <v>0</v>
      </c>
      <c r="Z212" s="261">
        <v>82596171</v>
      </c>
      <c r="AA212" s="261">
        <v>180000</v>
      </c>
      <c r="AB212" s="261">
        <v>73106171</v>
      </c>
      <c r="AC212" s="261">
        <v>9490000</v>
      </c>
      <c r="AD212" s="261">
        <v>0</v>
      </c>
      <c r="AE212" s="261">
        <v>5730000</v>
      </c>
      <c r="AF212" s="261">
        <v>67376171</v>
      </c>
      <c r="AG212" s="261">
        <v>180000</v>
      </c>
      <c r="AH212" s="261">
        <v>73106171</v>
      </c>
      <c r="AI212" s="261">
        <v>0</v>
      </c>
      <c r="AJ212" s="261">
        <v>9490000</v>
      </c>
      <c r="AK212" s="261">
        <v>0</v>
      </c>
      <c r="AL212" s="261">
        <v>0</v>
      </c>
      <c r="AM212" s="261">
        <v>72926171</v>
      </c>
      <c r="AN212" s="261">
        <v>72926171</v>
      </c>
      <c r="AO212" s="261">
        <v>0</v>
      </c>
      <c r="AP212" s="261">
        <v>9670000</v>
      </c>
      <c r="AQ212" s="261"/>
      <c r="AS212" s="261"/>
    </row>
    <row r="213" spans="1:45" x14ac:dyDescent="0.25">
      <c r="A213" s="2" t="s">
        <v>371</v>
      </c>
      <c r="B213" s="259" t="s">
        <v>372</v>
      </c>
      <c r="C213" s="261">
        <v>10000000</v>
      </c>
      <c r="D213" s="261">
        <v>0</v>
      </c>
      <c r="E213" s="261">
        <v>0</v>
      </c>
      <c r="F213" s="261">
        <v>0</v>
      </c>
      <c r="G213" s="261">
        <f>+C213+D213-E213+F213</f>
        <v>10000000</v>
      </c>
      <c r="H213" s="261">
        <v>0</v>
      </c>
      <c r="I213" s="261">
        <v>1908568</v>
      </c>
      <c r="J213" s="261">
        <f t="shared" si="101"/>
        <v>8091432</v>
      </c>
      <c r="K213" s="261">
        <v>0</v>
      </c>
      <c r="L213" s="261">
        <v>0</v>
      </c>
      <c r="M213" s="261">
        <f t="shared" si="106"/>
        <v>1908568</v>
      </c>
      <c r="N213" s="261">
        <v>0</v>
      </c>
      <c r="O213" s="261">
        <v>1908568</v>
      </c>
      <c r="P213" s="261">
        <f t="shared" si="102"/>
        <v>0</v>
      </c>
      <c r="Q213" s="177">
        <f t="shared" si="103"/>
        <v>8091432</v>
      </c>
      <c r="R213" s="261">
        <f t="shared" si="104"/>
        <v>0</v>
      </c>
      <c r="T213" s="183" t="s">
        <v>371</v>
      </c>
      <c r="U213" s="259" t="s">
        <v>372</v>
      </c>
      <c r="V213" s="261">
        <v>10000000</v>
      </c>
      <c r="W213" s="261">
        <v>0</v>
      </c>
      <c r="X213" s="261">
        <v>0</v>
      </c>
      <c r="Y213" s="261">
        <v>0</v>
      </c>
      <c r="Z213" s="261">
        <v>10000000</v>
      </c>
      <c r="AA213" s="261">
        <v>0</v>
      </c>
      <c r="AB213" s="261">
        <v>1908568</v>
      </c>
      <c r="AC213" s="261">
        <v>8091432</v>
      </c>
      <c r="AD213" s="261">
        <v>0</v>
      </c>
      <c r="AE213" s="261">
        <v>0</v>
      </c>
      <c r="AF213" s="261">
        <v>1908568</v>
      </c>
      <c r="AG213" s="261">
        <v>0</v>
      </c>
      <c r="AH213" s="261">
        <v>1908568</v>
      </c>
      <c r="AI213" s="261">
        <v>0</v>
      </c>
      <c r="AJ213" s="261">
        <v>8091432</v>
      </c>
      <c r="AK213" s="261">
        <v>0</v>
      </c>
      <c r="AL213" s="261">
        <v>0</v>
      </c>
      <c r="AM213" s="261">
        <v>1908568</v>
      </c>
      <c r="AN213" s="261">
        <v>1908568</v>
      </c>
      <c r="AO213" s="261">
        <v>0</v>
      </c>
      <c r="AP213" s="261">
        <v>8091432</v>
      </c>
      <c r="AQ213" s="261"/>
      <c r="AS213" s="261"/>
    </row>
    <row r="214" spans="1:45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 t="shared" ref="D214:R214" si="110">+D215</f>
        <v>0</v>
      </c>
      <c r="E214" s="9">
        <f t="shared" si="110"/>
        <v>0</v>
      </c>
      <c r="F214" s="9">
        <f t="shared" si="110"/>
        <v>0</v>
      </c>
      <c r="G214" s="9">
        <f t="shared" si="110"/>
        <v>16045044</v>
      </c>
      <c r="H214" s="9">
        <f t="shared" si="110"/>
        <v>1268000</v>
      </c>
      <c r="I214" s="9">
        <f t="shared" si="110"/>
        <v>6998000</v>
      </c>
      <c r="J214" s="9">
        <f t="shared" si="101"/>
        <v>9047044</v>
      </c>
      <c r="K214" s="9">
        <f t="shared" si="110"/>
        <v>1150000</v>
      </c>
      <c r="L214" s="9">
        <f t="shared" si="110"/>
        <v>5380000</v>
      </c>
      <c r="M214" s="9">
        <f t="shared" si="110"/>
        <v>1618000</v>
      </c>
      <c r="N214" s="9">
        <f t="shared" si="110"/>
        <v>1268000</v>
      </c>
      <c r="O214" s="9">
        <f t="shared" si="110"/>
        <v>6998000</v>
      </c>
      <c r="P214" s="9">
        <f t="shared" si="110"/>
        <v>0</v>
      </c>
      <c r="Q214" s="9">
        <f t="shared" si="103"/>
        <v>9047044</v>
      </c>
      <c r="R214" s="9">
        <f t="shared" si="110"/>
        <v>5380000</v>
      </c>
      <c r="T214" s="183" t="s">
        <v>373</v>
      </c>
      <c r="U214" s="259" t="s">
        <v>374</v>
      </c>
      <c r="V214" s="261">
        <v>16045044</v>
      </c>
      <c r="W214" s="261">
        <v>0</v>
      </c>
      <c r="X214" s="261">
        <v>0</v>
      </c>
      <c r="Y214" s="261">
        <v>0</v>
      </c>
      <c r="Z214" s="261">
        <v>16045044</v>
      </c>
      <c r="AA214" s="261">
        <v>1268000</v>
      </c>
      <c r="AB214" s="261">
        <v>6998000</v>
      </c>
      <c r="AC214" s="261">
        <v>9047044</v>
      </c>
      <c r="AD214" s="261">
        <v>1150000</v>
      </c>
      <c r="AE214" s="261">
        <v>5380000</v>
      </c>
      <c r="AF214" s="261">
        <v>1618000</v>
      </c>
      <c r="AG214" s="261">
        <v>1268000</v>
      </c>
      <c r="AH214" s="261">
        <v>6998000</v>
      </c>
      <c r="AI214" s="261">
        <v>0</v>
      </c>
      <c r="AJ214" s="261">
        <v>9047044</v>
      </c>
      <c r="AK214" s="261">
        <v>0</v>
      </c>
      <c r="AL214" s="261">
        <v>0</v>
      </c>
      <c r="AM214" s="261">
        <v>5730000</v>
      </c>
      <c r="AN214" s="261">
        <v>5730000</v>
      </c>
      <c r="AO214" s="261">
        <v>0</v>
      </c>
      <c r="AP214" s="261">
        <v>10315044</v>
      </c>
      <c r="AQ214" s="9"/>
      <c r="AS214" s="9"/>
    </row>
    <row r="215" spans="1:45" x14ac:dyDescent="0.25">
      <c r="A215" s="2" t="s">
        <v>375</v>
      </c>
      <c r="B215" s="259" t="s">
        <v>376</v>
      </c>
      <c r="C215" s="261">
        <v>16045044</v>
      </c>
      <c r="D215" s="261">
        <v>0</v>
      </c>
      <c r="E215" s="261">
        <v>0</v>
      </c>
      <c r="F215" s="261">
        <v>0</v>
      </c>
      <c r="G215" s="261">
        <f>+C215+D215-E215+F215</f>
        <v>16045044</v>
      </c>
      <c r="H215" s="261">
        <v>1268000</v>
      </c>
      <c r="I215" s="261">
        <v>6998000</v>
      </c>
      <c r="J215" s="261">
        <f t="shared" si="101"/>
        <v>9047044</v>
      </c>
      <c r="K215" s="261">
        <v>1150000</v>
      </c>
      <c r="L215" s="261">
        <v>5380000</v>
      </c>
      <c r="M215" s="261">
        <f t="shared" si="106"/>
        <v>1618000</v>
      </c>
      <c r="N215" s="261">
        <v>1268000</v>
      </c>
      <c r="O215" s="261">
        <v>6998000</v>
      </c>
      <c r="P215" s="261">
        <f t="shared" si="102"/>
        <v>0</v>
      </c>
      <c r="Q215" s="177">
        <f t="shared" si="103"/>
        <v>9047044</v>
      </c>
      <c r="R215" s="261">
        <f t="shared" si="104"/>
        <v>5380000</v>
      </c>
      <c r="T215" s="183" t="s">
        <v>375</v>
      </c>
      <c r="U215" s="259" t="s">
        <v>376</v>
      </c>
      <c r="V215" s="261">
        <v>16045044</v>
      </c>
      <c r="W215" s="261">
        <v>0</v>
      </c>
      <c r="X215" s="261">
        <v>0</v>
      </c>
      <c r="Y215" s="261">
        <v>0</v>
      </c>
      <c r="Z215" s="261">
        <v>16045044</v>
      </c>
      <c r="AA215" s="261">
        <v>1268000</v>
      </c>
      <c r="AB215" s="261">
        <v>6998000</v>
      </c>
      <c r="AC215" s="261">
        <v>9047044</v>
      </c>
      <c r="AD215" s="261">
        <v>1150000</v>
      </c>
      <c r="AE215" s="261">
        <v>5380000</v>
      </c>
      <c r="AF215" s="261">
        <v>1618000</v>
      </c>
      <c r="AG215" s="261">
        <v>1268000</v>
      </c>
      <c r="AH215" s="261">
        <v>6998000</v>
      </c>
      <c r="AI215" s="261">
        <v>0</v>
      </c>
      <c r="AJ215" s="261">
        <v>9047044</v>
      </c>
      <c r="AK215" s="261">
        <v>0</v>
      </c>
      <c r="AL215" s="261">
        <v>0</v>
      </c>
      <c r="AM215" s="261">
        <v>5730000</v>
      </c>
      <c r="AN215" s="261">
        <v>5730000</v>
      </c>
      <c r="AO215" s="261">
        <v>0</v>
      </c>
      <c r="AP215" s="261">
        <v>10315044</v>
      </c>
      <c r="AQ215" s="261"/>
      <c r="AS215" s="261"/>
    </row>
    <row r="216" spans="1:45" x14ac:dyDescent="0.25">
      <c r="A216" s="2" t="s">
        <v>377</v>
      </c>
      <c r="B216" s="259" t="s">
        <v>378</v>
      </c>
      <c r="C216" s="261">
        <v>2000000</v>
      </c>
      <c r="D216" s="261">
        <v>0</v>
      </c>
      <c r="E216" s="261">
        <v>0</v>
      </c>
      <c r="F216" s="261">
        <v>0</v>
      </c>
      <c r="G216" s="261">
        <f>+C216+D216-E216+F216</f>
        <v>2000000</v>
      </c>
      <c r="H216" s="261">
        <v>0</v>
      </c>
      <c r="I216" s="261">
        <v>1500000</v>
      </c>
      <c r="J216" s="261">
        <f t="shared" si="101"/>
        <v>500000</v>
      </c>
      <c r="K216" s="261">
        <v>0</v>
      </c>
      <c r="L216" s="261">
        <v>1000000</v>
      </c>
      <c r="M216" s="261">
        <f t="shared" si="106"/>
        <v>500000</v>
      </c>
      <c r="N216" s="261">
        <v>0</v>
      </c>
      <c r="O216" s="261">
        <v>1500000</v>
      </c>
      <c r="P216" s="261">
        <f t="shared" si="102"/>
        <v>0</v>
      </c>
      <c r="Q216" s="177">
        <f t="shared" si="103"/>
        <v>500000</v>
      </c>
      <c r="R216" s="261">
        <f t="shared" si="104"/>
        <v>1000000</v>
      </c>
      <c r="T216" s="183" t="s">
        <v>377</v>
      </c>
      <c r="U216" s="259" t="s">
        <v>378</v>
      </c>
      <c r="V216" s="261">
        <v>2000000</v>
      </c>
      <c r="W216" s="261">
        <v>0</v>
      </c>
      <c r="X216" s="261">
        <v>0</v>
      </c>
      <c r="Y216" s="261">
        <v>0</v>
      </c>
      <c r="Z216" s="261">
        <v>2000000</v>
      </c>
      <c r="AA216" s="261">
        <v>0</v>
      </c>
      <c r="AB216" s="261">
        <v>1500000</v>
      </c>
      <c r="AC216" s="261">
        <v>500000</v>
      </c>
      <c r="AD216" s="261">
        <v>0</v>
      </c>
      <c r="AE216" s="261">
        <v>1000000</v>
      </c>
      <c r="AF216" s="261">
        <v>500000</v>
      </c>
      <c r="AG216" s="261">
        <v>0</v>
      </c>
      <c r="AH216" s="261">
        <v>1500000</v>
      </c>
      <c r="AI216" s="261">
        <v>0</v>
      </c>
      <c r="AJ216" s="261">
        <v>500000</v>
      </c>
      <c r="AK216" s="261">
        <v>1000000</v>
      </c>
      <c r="AL216" s="261">
        <v>0</v>
      </c>
      <c r="AM216" s="261">
        <v>2500000</v>
      </c>
      <c r="AN216" s="261">
        <v>1500000</v>
      </c>
      <c r="AO216" s="261">
        <v>0</v>
      </c>
      <c r="AP216" s="261">
        <v>500000</v>
      </c>
      <c r="AQ216" s="261"/>
      <c r="AS216" s="261"/>
    </row>
    <row r="217" spans="1:45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 t="shared" ref="D217:R217" si="111">+D218</f>
        <v>0</v>
      </c>
      <c r="E217" s="9">
        <f t="shared" si="111"/>
        <v>0</v>
      </c>
      <c r="F217" s="9">
        <f t="shared" si="111"/>
        <v>0</v>
      </c>
      <c r="G217" s="9">
        <f t="shared" si="111"/>
        <v>33000000</v>
      </c>
      <c r="H217" s="9">
        <f t="shared" si="111"/>
        <v>0</v>
      </c>
      <c r="I217" s="9">
        <f t="shared" si="111"/>
        <v>28500000</v>
      </c>
      <c r="J217" s="9">
        <f t="shared" si="101"/>
        <v>4500000</v>
      </c>
      <c r="K217" s="9">
        <f t="shared" si="111"/>
        <v>0</v>
      </c>
      <c r="L217" s="9">
        <f t="shared" si="111"/>
        <v>5500000</v>
      </c>
      <c r="M217" s="9">
        <f t="shared" si="111"/>
        <v>23000000</v>
      </c>
      <c r="N217" s="9">
        <f t="shared" si="111"/>
        <v>0</v>
      </c>
      <c r="O217" s="9">
        <f t="shared" si="111"/>
        <v>28500000</v>
      </c>
      <c r="P217" s="9">
        <f t="shared" si="111"/>
        <v>0</v>
      </c>
      <c r="Q217" s="9">
        <f t="shared" si="103"/>
        <v>4500000</v>
      </c>
      <c r="R217" s="9">
        <f t="shared" si="111"/>
        <v>5500000</v>
      </c>
      <c r="T217" s="183" t="s">
        <v>379</v>
      </c>
      <c r="U217" s="259" t="s">
        <v>380</v>
      </c>
      <c r="V217" s="261">
        <v>33000000</v>
      </c>
      <c r="W217" s="261">
        <v>0</v>
      </c>
      <c r="X217" s="261">
        <v>0</v>
      </c>
      <c r="Y217" s="261">
        <v>0</v>
      </c>
      <c r="Z217" s="261">
        <v>33000000</v>
      </c>
      <c r="AA217" s="261">
        <v>0</v>
      </c>
      <c r="AB217" s="261">
        <v>28500000</v>
      </c>
      <c r="AC217" s="261">
        <v>4500000</v>
      </c>
      <c r="AD217" s="261">
        <v>0</v>
      </c>
      <c r="AE217" s="261">
        <v>5500000</v>
      </c>
      <c r="AF217" s="261">
        <v>23000000</v>
      </c>
      <c r="AG217" s="261">
        <v>0</v>
      </c>
      <c r="AH217" s="261">
        <v>28500000</v>
      </c>
      <c r="AI217" s="261">
        <v>0</v>
      </c>
      <c r="AJ217" s="261">
        <v>4500000</v>
      </c>
      <c r="AK217" s="261">
        <v>5500000</v>
      </c>
      <c r="AL217" s="261">
        <v>0</v>
      </c>
      <c r="AM217" s="261">
        <v>34000000</v>
      </c>
      <c r="AN217" s="261">
        <v>28500000</v>
      </c>
      <c r="AO217" s="261">
        <v>0</v>
      </c>
      <c r="AP217" s="261">
        <v>4500000</v>
      </c>
      <c r="AQ217" s="9"/>
      <c r="AS217" s="9"/>
    </row>
    <row r="218" spans="1:45" x14ac:dyDescent="0.25">
      <c r="A218" s="2" t="s">
        <v>381</v>
      </c>
      <c r="B218" s="259" t="s">
        <v>382</v>
      </c>
      <c r="C218" s="261">
        <v>33000000</v>
      </c>
      <c r="D218" s="261">
        <v>0</v>
      </c>
      <c r="E218" s="261">
        <v>0</v>
      </c>
      <c r="F218" s="261">
        <v>0</v>
      </c>
      <c r="G218" s="261">
        <f>+C218+D218-E218+F218</f>
        <v>33000000</v>
      </c>
      <c r="H218" s="261">
        <v>0</v>
      </c>
      <c r="I218" s="261">
        <v>28500000</v>
      </c>
      <c r="J218" s="261">
        <f t="shared" si="101"/>
        <v>4500000</v>
      </c>
      <c r="K218" s="261">
        <v>0</v>
      </c>
      <c r="L218" s="261">
        <v>5500000</v>
      </c>
      <c r="M218" s="261">
        <f t="shared" si="106"/>
        <v>23000000</v>
      </c>
      <c r="N218" s="261">
        <v>0</v>
      </c>
      <c r="O218" s="261">
        <v>28500000</v>
      </c>
      <c r="P218" s="261">
        <f t="shared" si="102"/>
        <v>0</v>
      </c>
      <c r="Q218" s="177">
        <f t="shared" si="103"/>
        <v>4500000</v>
      </c>
      <c r="R218" s="261">
        <f t="shared" si="104"/>
        <v>5500000</v>
      </c>
      <c r="T218" s="183" t="s">
        <v>381</v>
      </c>
      <c r="U218" s="259" t="s">
        <v>382</v>
      </c>
      <c r="V218" s="261">
        <v>33000000</v>
      </c>
      <c r="W218" s="261">
        <v>0</v>
      </c>
      <c r="X218" s="261">
        <v>0</v>
      </c>
      <c r="Y218" s="261">
        <v>0</v>
      </c>
      <c r="Z218" s="261">
        <v>33000000</v>
      </c>
      <c r="AA218" s="261">
        <v>0</v>
      </c>
      <c r="AB218" s="261">
        <v>28500000</v>
      </c>
      <c r="AC218" s="261">
        <v>4500000</v>
      </c>
      <c r="AD218" s="261">
        <v>0</v>
      </c>
      <c r="AE218" s="261">
        <v>5500000</v>
      </c>
      <c r="AF218" s="261">
        <v>23000000</v>
      </c>
      <c r="AG218" s="261">
        <v>0</v>
      </c>
      <c r="AH218" s="261">
        <v>28500000</v>
      </c>
      <c r="AI218" s="261">
        <v>0</v>
      </c>
      <c r="AJ218" s="261">
        <v>4500000</v>
      </c>
      <c r="AK218" s="261">
        <v>5500000</v>
      </c>
      <c r="AL218" s="261">
        <v>0</v>
      </c>
      <c r="AM218" s="261">
        <v>34000000</v>
      </c>
      <c r="AN218" s="261">
        <v>28500000</v>
      </c>
      <c r="AO218" s="261">
        <v>0</v>
      </c>
      <c r="AP218" s="261">
        <v>4500000</v>
      </c>
      <c r="AQ218" s="261"/>
      <c r="AS218" s="261"/>
    </row>
    <row r="219" spans="1:45" x14ac:dyDescent="0.25">
      <c r="A219" s="2" t="s">
        <v>383</v>
      </c>
      <c r="B219" s="259" t="s">
        <v>384</v>
      </c>
      <c r="C219" s="261">
        <v>130267101</v>
      </c>
      <c r="D219" s="261">
        <v>0</v>
      </c>
      <c r="E219" s="261">
        <v>85000000</v>
      </c>
      <c r="F219" s="261">
        <v>0</v>
      </c>
      <c r="G219" s="261">
        <f>+C219+D219-E219+F219</f>
        <v>45267101</v>
      </c>
      <c r="H219" s="261">
        <v>0</v>
      </c>
      <c r="I219" s="261">
        <v>11046200</v>
      </c>
      <c r="J219" s="261">
        <f t="shared" si="101"/>
        <v>34220901</v>
      </c>
      <c r="K219" s="261">
        <v>0</v>
      </c>
      <c r="L219" s="261">
        <v>46200</v>
      </c>
      <c r="M219" s="261">
        <f t="shared" si="106"/>
        <v>11000000</v>
      </c>
      <c r="N219" s="261">
        <v>500000</v>
      </c>
      <c r="O219" s="261">
        <v>11546200</v>
      </c>
      <c r="P219" s="261">
        <f t="shared" si="102"/>
        <v>500000</v>
      </c>
      <c r="Q219" s="177">
        <f t="shared" si="103"/>
        <v>33720901</v>
      </c>
      <c r="R219" s="261">
        <f t="shared" si="104"/>
        <v>46200</v>
      </c>
      <c r="T219" s="183" t="s">
        <v>383</v>
      </c>
      <c r="U219" s="259" t="s">
        <v>384</v>
      </c>
      <c r="V219" s="261">
        <v>130267101</v>
      </c>
      <c r="W219" s="261">
        <v>0</v>
      </c>
      <c r="X219" s="261">
        <v>85000000</v>
      </c>
      <c r="Y219" s="261">
        <v>0</v>
      </c>
      <c r="Z219" s="261">
        <v>45267101</v>
      </c>
      <c r="AA219" s="261">
        <v>0</v>
      </c>
      <c r="AB219" s="261">
        <v>11046200</v>
      </c>
      <c r="AC219" s="261">
        <v>34220901</v>
      </c>
      <c r="AD219" s="261">
        <v>0</v>
      </c>
      <c r="AE219" s="261">
        <v>46200</v>
      </c>
      <c r="AF219" s="261">
        <v>11000000</v>
      </c>
      <c r="AG219" s="261">
        <v>500000</v>
      </c>
      <c r="AH219" s="261">
        <v>11546200</v>
      </c>
      <c r="AI219" s="261">
        <v>500000</v>
      </c>
      <c r="AJ219" s="261">
        <v>33720901</v>
      </c>
      <c r="AK219" s="261">
        <v>0</v>
      </c>
      <c r="AL219" s="261">
        <v>500000</v>
      </c>
      <c r="AM219" s="261">
        <v>11546200</v>
      </c>
      <c r="AN219" s="261">
        <v>11546200</v>
      </c>
      <c r="AO219" s="261">
        <v>500000</v>
      </c>
      <c r="AP219" s="261">
        <v>33720901</v>
      </c>
      <c r="AQ219" s="261"/>
      <c r="AS219" s="261"/>
    </row>
    <row r="220" spans="1:45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 t="shared" ref="D220:R220" si="112">+D221+D222</f>
        <v>0</v>
      </c>
      <c r="E220" s="9">
        <f t="shared" si="112"/>
        <v>0</v>
      </c>
      <c r="F220" s="9">
        <f t="shared" si="112"/>
        <v>0</v>
      </c>
      <c r="G220" s="9">
        <f t="shared" si="112"/>
        <v>796223292</v>
      </c>
      <c r="H220" s="9">
        <f t="shared" si="112"/>
        <v>82967654</v>
      </c>
      <c r="I220" s="9">
        <f t="shared" si="112"/>
        <v>349329349.44999999</v>
      </c>
      <c r="J220" s="9">
        <f t="shared" si="101"/>
        <v>446893942.55000001</v>
      </c>
      <c r="K220" s="9">
        <f t="shared" si="112"/>
        <v>84921154</v>
      </c>
      <c r="L220" s="9">
        <f t="shared" si="112"/>
        <v>382219054.44999999</v>
      </c>
      <c r="M220" s="9">
        <f t="shared" si="112"/>
        <v>-32889705</v>
      </c>
      <c r="N220" s="9">
        <f t="shared" si="112"/>
        <v>68746474</v>
      </c>
      <c r="O220" s="9">
        <f t="shared" si="112"/>
        <v>377891543.44999999</v>
      </c>
      <c r="P220" s="9">
        <f t="shared" si="112"/>
        <v>28562194</v>
      </c>
      <c r="Q220" s="9">
        <f t="shared" si="103"/>
        <v>418331748.55000001</v>
      </c>
      <c r="R220" s="9">
        <f t="shared" si="112"/>
        <v>382219054.44999999</v>
      </c>
      <c r="T220" s="183" t="s">
        <v>385</v>
      </c>
      <c r="U220" s="259" t="s">
        <v>386</v>
      </c>
      <c r="V220" s="261">
        <v>796223292</v>
      </c>
      <c r="W220" s="261">
        <v>0</v>
      </c>
      <c r="X220" s="261">
        <v>0</v>
      </c>
      <c r="Y220" s="261">
        <v>0</v>
      </c>
      <c r="Z220" s="261">
        <v>796223292</v>
      </c>
      <c r="AA220" s="261">
        <v>82967654</v>
      </c>
      <c r="AB220" s="261">
        <v>349329349.44999999</v>
      </c>
      <c r="AC220" s="261">
        <v>446893942.55000001</v>
      </c>
      <c r="AD220" s="261">
        <v>84921154</v>
      </c>
      <c r="AE220" s="261">
        <v>382219054.44999999</v>
      </c>
      <c r="AF220" s="261">
        <v>13035241</v>
      </c>
      <c r="AG220" s="261">
        <v>68746474</v>
      </c>
      <c r="AH220" s="261">
        <v>377891543.44999999</v>
      </c>
      <c r="AI220" s="261">
        <v>28562194</v>
      </c>
      <c r="AJ220" s="261">
        <v>418331748.55000001</v>
      </c>
      <c r="AK220" s="261">
        <v>124074</v>
      </c>
      <c r="AL220" s="261">
        <v>21897819</v>
      </c>
      <c r="AM220" s="261">
        <v>331166962.44999999</v>
      </c>
      <c r="AN220" s="261">
        <v>331042888.44999999</v>
      </c>
      <c r="AO220" s="261">
        <v>41903213</v>
      </c>
      <c r="AP220" s="261">
        <v>465180403.55000001</v>
      </c>
      <c r="AQ220" s="9"/>
      <c r="AS220" s="9"/>
    </row>
    <row r="221" spans="1:45" x14ac:dyDescent="0.25">
      <c r="A221" s="2" t="s">
        <v>387</v>
      </c>
      <c r="B221" s="259" t="s">
        <v>388</v>
      </c>
      <c r="C221" s="261">
        <v>580223292</v>
      </c>
      <c r="D221" s="261">
        <v>0</v>
      </c>
      <c r="E221" s="261">
        <v>0</v>
      </c>
      <c r="F221" s="261">
        <v>0</v>
      </c>
      <c r="G221" s="261">
        <f>+C221+D221-E221+F221</f>
        <v>580223292</v>
      </c>
      <c r="H221" s="261">
        <v>72341604</v>
      </c>
      <c r="I221" s="261">
        <v>270927953.44999999</v>
      </c>
      <c r="J221" s="261">
        <f t="shared" si="101"/>
        <v>309295338.55000001</v>
      </c>
      <c r="K221" s="261">
        <v>72341604</v>
      </c>
      <c r="L221" s="261">
        <v>310851912.44999999</v>
      </c>
      <c r="M221" s="261">
        <f t="shared" si="106"/>
        <v>-39923959</v>
      </c>
      <c r="N221" s="261">
        <v>58442424</v>
      </c>
      <c r="O221" s="261">
        <v>297129825.44999999</v>
      </c>
      <c r="P221" s="261">
        <f t="shared" si="102"/>
        <v>26201872</v>
      </c>
      <c r="Q221" s="177">
        <f t="shared" si="103"/>
        <v>283093466.55000001</v>
      </c>
      <c r="R221" s="261">
        <f t="shared" si="104"/>
        <v>310851912.44999999</v>
      </c>
      <c r="T221" s="183" t="s">
        <v>387</v>
      </c>
      <c r="U221" s="259" t="s">
        <v>388</v>
      </c>
      <c r="V221" s="261">
        <v>580223292</v>
      </c>
      <c r="W221" s="261">
        <v>0</v>
      </c>
      <c r="X221" s="261">
        <v>0</v>
      </c>
      <c r="Y221" s="261">
        <v>0</v>
      </c>
      <c r="Z221" s="261">
        <v>580223292</v>
      </c>
      <c r="AA221" s="261">
        <v>72341604</v>
      </c>
      <c r="AB221" s="261">
        <v>270927953.44999999</v>
      </c>
      <c r="AC221" s="261">
        <v>309295338.55000001</v>
      </c>
      <c r="AD221" s="261">
        <v>72341604</v>
      </c>
      <c r="AE221" s="261">
        <v>310851912.44999999</v>
      </c>
      <c r="AF221" s="261">
        <v>2038741</v>
      </c>
      <c r="AG221" s="261">
        <v>58442424</v>
      </c>
      <c r="AH221" s="261">
        <v>297129825.44999999</v>
      </c>
      <c r="AI221" s="261">
        <v>26201872</v>
      </c>
      <c r="AJ221" s="261">
        <v>283093466.55000001</v>
      </c>
      <c r="AK221" s="261">
        <v>97700</v>
      </c>
      <c r="AL221" s="261">
        <v>11593769</v>
      </c>
      <c r="AM221" s="261">
        <v>250378870.44999999</v>
      </c>
      <c r="AN221" s="261">
        <v>250281170.44999999</v>
      </c>
      <c r="AO221" s="261">
        <v>39542891</v>
      </c>
      <c r="AP221" s="261">
        <v>329942121.55000001</v>
      </c>
      <c r="AQ221" s="261"/>
      <c r="AS221" s="261"/>
    </row>
    <row r="222" spans="1:45" x14ac:dyDescent="0.25">
      <c r="A222" s="2" t="s">
        <v>389</v>
      </c>
      <c r="B222" s="259" t="s">
        <v>390</v>
      </c>
      <c r="C222" s="261">
        <v>216000000</v>
      </c>
      <c r="D222" s="261">
        <v>0</v>
      </c>
      <c r="E222" s="261">
        <v>0</v>
      </c>
      <c r="F222" s="261">
        <v>0</v>
      </c>
      <c r="G222" s="261">
        <f>+C222+D222-E222+F222</f>
        <v>216000000</v>
      </c>
      <c r="H222" s="261">
        <v>10626050</v>
      </c>
      <c r="I222" s="261">
        <v>78401396</v>
      </c>
      <c r="J222" s="261">
        <f t="shared" si="101"/>
        <v>137598604</v>
      </c>
      <c r="K222" s="261">
        <v>12579550</v>
      </c>
      <c r="L222" s="261">
        <v>71367142</v>
      </c>
      <c r="M222" s="261">
        <f t="shared" si="106"/>
        <v>7034254</v>
      </c>
      <c r="N222" s="261">
        <v>10304050</v>
      </c>
      <c r="O222" s="261">
        <v>80761718</v>
      </c>
      <c r="P222" s="261">
        <f t="shared" si="102"/>
        <v>2360322</v>
      </c>
      <c r="Q222" s="177">
        <f t="shared" si="103"/>
        <v>135238282</v>
      </c>
      <c r="R222" s="261">
        <f t="shared" si="104"/>
        <v>71367142</v>
      </c>
      <c r="T222" s="183" t="s">
        <v>389</v>
      </c>
      <c r="U222" s="259" t="s">
        <v>390</v>
      </c>
      <c r="V222" s="261">
        <v>216000000</v>
      </c>
      <c r="W222" s="261">
        <v>0</v>
      </c>
      <c r="X222" s="261">
        <v>0</v>
      </c>
      <c r="Y222" s="261">
        <v>0</v>
      </c>
      <c r="Z222" s="261">
        <v>216000000</v>
      </c>
      <c r="AA222" s="261">
        <v>10626050</v>
      </c>
      <c r="AB222" s="261">
        <v>78401396</v>
      </c>
      <c r="AC222" s="261">
        <v>137598604</v>
      </c>
      <c r="AD222" s="261">
        <v>12579550</v>
      </c>
      <c r="AE222" s="261">
        <v>71367142</v>
      </c>
      <c r="AF222" s="261">
        <v>10996500</v>
      </c>
      <c r="AG222" s="261">
        <v>10304050</v>
      </c>
      <c r="AH222" s="261">
        <v>80761718</v>
      </c>
      <c r="AI222" s="261">
        <v>2360322</v>
      </c>
      <c r="AJ222" s="261">
        <v>135238282</v>
      </c>
      <c r="AK222" s="261">
        <v>26374</v>
      </c>
      <c r="AL222" s="261">
        <v>10304050</v>
      </c>
      <c r="AM222" s="261">
        <v>80788092</v>
      </c>
      <c r="AN222" s="261">
        <v>80761718</v>
      </c>
      <c r="AO222" s="261">
        <v>2360322</v>
      </c>
      <c r="AP222" s="261">
        <v>135238282</v>
      </c>
      <c r="AQ222" s="261"/>
      <c r="AS222" s="261"/>
    </row>
    <row r="223" spans="1:45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 t="shared" ref="D223:R223" si="113">+D224+D233+D238</f>
        <v>738532905</v>
      </c>
      <c r="E223" s="9">
        <f t="shared" si="113"/>
        <v>0</v>
      </c>
      <c r="F223" s="9">
        <f t="shared" si="113"/>
        <v>0</v>
      </c>
      <c r="G223" s="9">
        <f t="shared" si="113"/>
        <v>3233942745</v>
      </c>
      <c r="H223" s="9">
        <f t="shared" si="113"/>
        <v>404514018.32999998</v>
      </c>
      <c r="I223" s="9">
        <f t="shared" si="113"/>
        <v>1343849892.6500001</v>
      </c>
      <c r="J223" s="9">
        <f t="shared" si="101"/>
        <v>1890092852.3499999</v>
      </c>
      <c r="K223" s="9">
        <f t="shared" si="113"/>
        <v>33821632.730000004</v>
      </c>
      <c r="L223" s="9">
        <f t="shared" si="113"/>
        <v>287036988.04999995</v>
      </c>
      <c r="M223" s="9">
        <f t="shared" si="113"/>
        <v>1056812904.6</v>
      </c>
      <c r="N223" s="9">
        <f t="shared" si="113"/>
        <v>1083225915.5999999</v>
      </c>
      <c r="O223" s="9">
        <f t="shared" si="113"/>
        <v>3217070490.3199997</v>
      </c>
      <c r="P223" s="9">
        <f t="shared" si="113"/>
        <v>1873220597.6700001</v>
      </c>
      <c r="Q223" s="9">
        <f t="shared" si="103"/>
        <v>16872254.680000305</v>
      </c>
      <c r="R223" s="9">
        <f t="shared" si="113"/>
        <v>287036988.04999995</v>
      </c>
      <c r="T223" s="183" t="s">
        <v>391</v>
      </c>
      <c r="U223" s="259" t="s">
        <v>392</v>
      </c>
      <c r="V223" s="261">
        <v>2495409840</v>
      </c>
      <c r="W223" s="261">
        <v>738532905</v>
      </c>
      <c r="X223" s="261">
        <v>0</v>
      </c>
      <c r="Y223" s="261">
        <v>0</v>
      </c>
      <c r="Z223" s="261">
        <v>3233942745</v>
      </c>
      <c r="AA223" s="261">
        <v>404514018.32999998</v>
      </c>
      <c r="AB223" s="261">
        <v>1343849892.6500001</v>
      </c>
      <c r="AC223" s="261">
        <v>1890092852.3499999</v>
      </c>
      <c r="AD223" s="261">
        <v>33821632.730000004</v>
      </c>
      <c r="AE223" s="261">
        <v>287036988.04999995</v>
      </c>
      <c r="AF223" s="261">
        <v>1056812904.6000001</v>
      </c>
      <c r="AG223" s="261">
        <v>1083225915.5999999</v>
      </c>
      <c r="AH223" s="261">
        <v>3217070490.3200002</v>
      </c>
      <c r="AI223" s="261">
        <v>1873220597.6700001</v>
      </c>
      <c r="AJ223" s="261">
        <v>16872254.679999828</v>
      </c>
      <c r="AK223" s="261">
        <v>150000</v>
      </c>
      <c r="AL223" s="261">
        <v>1082289886.5999999</v>
      </c>
      <c r="AM223" s="261">
        <v>3216284461.3200002</v>
      </c>
      <c r="AN223" s="261">
        <v>3216134461.3200002</v>
      </c>
      <c r="AO223" s="261">
        <v>2026080376.4000001</v>
      </c>
      <c r="AP223" s="261">
        <v>17808283.679999828</v>
      </c>
      <c r="AQ223" s="9"/>
      <c r="AS223" s="9"/>
    </row>
    <row r="224" spans="1:45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 t="shared" ref="D224:R224" si="114">+D225+D227</f>
        <v>60000000</v>
      </c>
      <c r="E224" s="9">
        <f t="shared" si="114"/>
        <v>0</v>
      </c>
      <c r="F224" s="9">
        <f t="shared" si="114"/>
        <v>0</v>
      </c>
      <c r="G224" s="9">
        <f t="shared" si="114"/>
        <v>1485068799</v>
      </c>
      <c r="H224" s="9">
        <f t="shared" si="114"/>
        <v>6114021.3300000001</v>
      </c>
      <c r="I224" s="9">
        <f t="shared" si="114"/>
        <v>286935044.67000002</v>
      </c>
      <c r="J224" s="9">
        <f t="shared" si="101"/>
        <v>1198133754.3299999</v>
      </c>
      <c r="K224" s="9">
        <f t="shared" si="114"/>
        <v>6077330.7300000004</v>
      </c>
      <c r="L224" s="9">
        <f t="shared" si="114"/>
        <v>233738533.06999999</v>
      </c>
      <c r="M224" s="9">
        <f t="shared" si="114"/>
        <v>53196511.600000001</v>
      </c>
      <c r="N224" s="9">
        <f t="shared" si="114"/>
        <v>1082325918.5999999</v>
      </c>
      <c r="O224" s="9">
        <f t="shared" si="114"/>
        <v>1474555586.3399999</v>
      </c>
      <c r="P224" s="9">
        <f t="shared" si="114"/>
        <v>1187620541.6700001</v>
      </c>
      <c r="Q224" s="9">
        <f t="shared" si="103"/>
        <v>10513212.660000086</v>
      </c>
      <c r="R224" s="9">
        <f t="shared" si="114"/>
        <v>233738533.06999999</v>
      </c>
      <c r="T224" s="183" t="s">
        <v>393</v>
      </c>
      <c r="U224" s="259" t="s">
        <v>394</v>
      </c>
      <c r="V224" s="261">
        <v>1425068799</v>
      </c>
      <c r="W224" s="261">
        <v>60000000</v>
      </c>
      <c r="X224" s="261">
        <v>0</v>
      </c>
      <c r="Y224" s="261">
        <v>0</v>
      </c>
      <c r="Z224" s="261">
        <v>1485068799</v>
      </c>
      <c r="AA224" s="261">
        <v>6114021.3300000001</v>
      </c>
      <c r="AB224" s="261">
        <v>286935044.67000002</v>
      </c>
      <c r="AC224" s="261">
        <v>1198133754.3299999</v>
      </c>
      <c r="AD224" s="261">
        <v>6077330.7300000004</v>
      </c>
      <c r="AE224" s="261">
        <v>233738533.06999999</v>
      </c>
      <c r="AF224" s="261">
        <v>53196511.600000024</v>
      </c>
      <c r="AG224" s="261">
        <v>1082325918.5999999</v>
      </c>
      <c r="AH224" s="261">
        <v>1474555586.3400002</v>
      </c>
      <c r="AI224" s="261">
        <v>1187620541.6700001</v>
      </c>
      <c r="AJ224" s="261">
        <v>10513212.659999847</v>
      </c>
      <c r="AK224" s="261">
        <v>150000</v>
      </c>
      <c r="AL224" s="261">
        <v>1082289886.5999999</v>
      </c>
      <c r="AM224" s="261">
        <v>1474669554.3400002</v>
      </c>
      <c r="AN224" s="261">
        <v>1474519554.3400002</v>
      </c>
      <c r="AO224" s="261">
        <v>1193480320.4000001</v>
      </c>
      <c r="AP224" s="261">
        <v>10549244.659999847</v>
      </c>
      <c r="AQ224" s="9"/>
      <c r="AS224" s="9"/>
    </row>
    <row r="225" spans="1:45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 t="shared" ref="D225:R225" si="115">+D226</f>
        <v>0</v>
      </c>
      <c r="E225" s="9">
        <f t="shared" si="115"/>
        <v>0</v>
      </c>
      <c r="F225" s="9">
        <f t="shared" si="115"/>
        <v>0</v>
      </c>
      <c r="G225" s="9">
        <f t="shared" si="115"/>
        <v>163534140</v>
      </c>
      <c r="H225" s="9">
        <f t="shared" si="115"/>
        <v>6114021.3300000001</v>
      </c>
      <c r="I225" s="9">
        <f t="shared" si="115"/>
        <v>55074124.670000002</v>
      </c>
      <c r="J225" s="9">
        <f t="shared" si="101"/>
        <v>108460015.33</v>
      </c>
      <c r="K225" s="9">
        <f t="shared" si="115"/>
        <v>6077330.7300000004</v>
      </c>
      <c r="L225" s="9">
        <f t="shared" si="115"/>
        <v>53748542.07</v>
      </c>
      <c r="M225" s="9">
        <f t="shared" si="115"/>
        <v>1325582.6000000015</v>
      </c>
      <c r="N225" s="9">
        <f t="shared" si="115"/>
        <v>536690.6</v>
      </c>
      <c r="O225" s="9">
        <f t="shared" si="115"/>
        <v>155720927.34</v>
      </c>
      <c r="P225" s="9">
        <f t="shared" si="115"/>
        <v>100646802.67</v>
      </c>
      <c r="Q225" s="9">
        <f t="shared" si="103"/>
        <v>7813212.6599999964</v>
      </c>
      <c r="R225" s="9">
        <f t="shared" si="115"/>
        <v>53748542.07</v>
      </c>
      <c r="T225" s="183" t="s">
        <v>395</v>
      </c>
      <c r="U225" s="259" t="s">
        <v>396</v>
      </c>
      <c r="V225" s="261">
        <v>163534140</v>
      </c>
      <c r="W225" s="261">
        <v>0</v>
      </c>
      <c r="X225" s="261">
        <v>0</v>
      </c>
      <c r="Y225" s="261">
        <v>0</v>
      </c>
      <c r="Z225" s="261">
        <v>163534140</v>
      </c>
      <c r="AA225" s="261">
        <v>6114021.3300000001</v>
      </c>
      <c r="AB225" s="261">
        <v>55074124.670000002</v>
      </c>
      <c r="AC225" s="261">
        <v>108460015.33</v>
      </c>
      <c r="AD225" s="261">
        <v>6077330.7300000004</v>
      </c>
      <c r="AE225" s="261">
        <v>53748542.07</v>
      </c>
      <c r="AF225" s="261">
        <v>1325582.6000000015</v>
      </c>
      <c r="AG225" s="261">
        <v>536690.6</v>
      </c>
      <c r="AH225" s="261">
        <v>155720927.34</v>
      </c>
      <c r="AI225" s="261">
        <v>100646802.67</v>
      </c>
      <c r="AJ225" s="261">
        <v>7813212.6599999964</v>
      </c>
      <c r="AK225" s="261">
        <v>150000</v>
      </c>
      <c r="AL225" s="261">
        <v>500658.6</v>
      </c>
      <c r="AM225" s="261">
        <v>155834895.34</v>
      </c>
      <c r="AN225" s="261">
        <v>155684895.34</v>
      </c>
      <c r="AO225" s="261">
        <v>106506581.40000001</v>
      </c>
      <c r="AP225" s="261">
        <v>7849244.6599999964</v>
      </c>
      <c r="AQ225" s="9"/>
      <c r="AS225" s="9"/>
    </row>
    <row r="226" spans="1:45" x14ac:dyDescent="0.25">
      <c r="A226" s="2" t="s">
        <v>397</v>
      </c>
      <c r="B226" s="259" t="s">
        <v>396</v>
      </c>
      <c r="C226" s="261">
        <v>163534140</v>
      </c>
      <c r="D226" s="261">
        <v>0</v>
      </c>
      <c r="E226" s="261">
        <v>0</v>
      </c>
      <c r="F226" s="261">
        <v>0</v>
      </c>
      <c r="G226" s="261">
        <f>+C226+D226-E226+F226</f>
        <v>163534140</v>
      </c>
      <c r="H226" s="261">
        <v>6114021.3300000001</v>
      </c>
      <c r="I226" s="261">
        <v>55074124.670000002</v>
      </c>
      <c r="J226" s="261">
        <f t="shared" si="101"/>
        <v>108460015.33</v>
      </c>
      <c r="K226" s="261">
        <v>6077330.7300000004</v>
      </c>
      <c r="L226" s="261">
        <v>53748542.07</v>
      </c>
      <c r="M226" s="261">
        <f t="shared" si="106"/>
        <v>1325582.6000000015</v>
      </c>
      <c r="N226" s="261">
        <v>536690.6</v>
      </c>
      <c r="O226" s="261">
        <v>155720927.34</v>
      </c>
      <c r="P226" s="261">
        <f t="shared" si="102"/>
        <v>100646802.67</v>
      </c>
      <c r="Q226" s="177">
        <f t="shared" si="103"/>
        <v>7813212.6599999964</v>
      </c>
      <c r="R226" s="261">
        <f t="shared" si="104"/>
        <v>53748542.07</v>
      </c>
      <c r="T226" s="183" t="s">
        <v>397</v>
      </c>
      <c r="U226" s="259" t="s">
        <v>396</v>
      </c>
      <c r="V226" s="261">
        <v>163534140</v>
      </c>
      <c r="W226" s="261">
        <v>0</v>
      </c>
      <c r="X226" s="261">
        <v>0</v>
      </c>
      <c r="Y226" s="261">
        <v>0</v>
      </c>
      <c r="Z226" s="261">
        <v>163534140</v>
      </c>
      <c r="AA226" s="261">
        <v>6114021.3300000001</v>
      </c>
      <c r="AB226" s="261">
        <v>55074124.670000002</v>
      </c>
      <c r="AC226" s="261">
        <v>108460015.33</v>
      </c>
      <c r="AD226" s="261">
        <v>6077330.7300000004</v>
      </c>
      <c r="AE226" s="261">
        <v>53748542.07</v>
      </c>
      <c r="AF226" s="261">
        <v>1325582.6000000015</v>
      </c>
      <c r="AG226" s="261">
        <v>536690.6</v>
      </c>
      <c r="AH226" s="261">
        <v>155720927.34</v>
      </c>
      <c r="AI226" s="261">
        <v>100646802.67</v>
      </c>
      <c r="AJ226" s="261">
        <v>7813212.6599999964</v>
      </c>
      <c r="AK226" s="261">
        <v>150000</v>
      </c>
      <c r="AL226" s="261">
        <v>500658.6</v>
      </c>
      <c r="AM226" s="261">
        <v>155834895.34</v>
      </c>
      <c r="AN226" s="261">
        <v>155684895.34</v>
      </c>
      <c r="AO226" s="261">
        <v>106506581.40000001</v>
      </c>
      <c r="AP226" s="261">
        <v>7849244.6599999964</v>
      </c>
      <c r="AQ226" s="261"/>
      <c r="AS226" s="261"/>
    </row>
    <row r="227" spans="1:45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 t="shared" ref="D227:R227" si="116">+D228+D229</f>
        <v>60000000</v>
      </c>
      <c r="E227" s="9">
        <f t="shared" si="116"/>
        <v>0</v>
      </c>
      <c r="F227" s="9">
        <f t="shared" si="116"/>
        <v>0</v>
      </c>
      <c r="G227" s="9">
        <f t="shared" si="116"/>
        <v>1321534659</v>
      </c>
      <c r="H227" s="9">
        <f t="shared" si="116"/>
        <v>0</v>
      </c>
      <c r="I227" s="9">
        <f t="shared" si="116"/>
        <v>231860920</v>
      </c>
      <c r="J227" s="9">
        <f t="shared" si="101"/>
        <v>1089673739</v>
      </c>
      <c r="K227" s="9">
        <f t="shared" si="116"/>
        <v>0</v>
      </c>
      <c r="L227" s="9">
        <f t="shared" si="116"/>
        <v>179989991</v>
      </c>
      <c r="M227" s="9">
        <f t="shared" si="116"/>
        <v>51870929</v>
      </c>
      <c r="N227" s="9">
        <f t="shared" si="116"/>
        <v>1081789228</v>
      </c>
      <c r="O227" s="9">
        <f t="shared" si="116"/>
        <v>1318834659</v>
      </c>
      <c r="P227" s="9">
        <f t="shared" si="116"/>
        <v>1086973739</v>
      </c>
      <c r="Q227" s="9">
        <f t="shared" si="103"/>
        <v>2700000</v>
      </c>
      <c r="R227" s="9">
        <f t="shared" si="116"/>
        <v>179989991</v>
      </c>
      <c r="T227" s="183" t="s">
        <v>398</v>
      </c>
      <c r="U227" s="259" t="s">
        <v>399</v>
      </c>
      <c r="V227" s="261">
        <v>1261534659</v>
      </c>
      <c r="W227" s="261">
        <v>60000000</v>
      </c>
      <c r="X227" s="261">
        <v>0</v>
      </c>
      <c r="Y227" s="261">
        <v>0</v>
      </c>
      <c r="Z227" s="261">
        <v>1321534659</v>
      </c>
      <c r="AA227" s="261">
        <v>0</v>
      </c>
      <c r="AB227" s="261">
        <v>231860920</v>
      </c>
      <c r="AC227" s="261">
        <v>1089673739</v>
      </c>
      <c r="AD227" s="261">
        <v>0</v>
      </c>
      <c r="AE227" s="261">
        <v>179989991</v>
      </c>
      <c r="AF227" s="261">
        <v>51870929</v>
      </c>
      <c r="AG227" s="261">
        <v>1081789228</v>
      </c>
      <c r="AH227" s="261">
        <v>1318834659</v>
      </c>
      <c r="AI227" s="261">
        <v>1086973739</v>
      </c>
      <c r="AJ227" s="261">
        <v>2700000</v>
      </c>
      <c r="AK227" s="261">
        <v>0</v>
      </c>
      <c r="AL227" s="261">
        <v>1081789228</v>
      </c>
      <c r="AM227" s="261">
        <v>1318834659</v>
      </c>
      <c r="AN227" s="261">
        <v>1318834659</v>
      </c>
      <c r="AO227" s="261">
        <v>1086973739</v>
      </c>
      <c r="AP227" s="261">
        <v>2700000</v>
      </c>
      <c r="AQ227" s="9"/>
      <c r="AS227" s="9"/>
    </row>
    <row r="228" spans="1:45" x14ac:dyDescent="0.25">
      <c r="A228" s="2" t="s">
        <v>400</v>
      </c>
      <c r="B228" s="259" t="s">
        <v>401</v>
      </c>
      <c r="C228" s="261">
        <v>270000000</v>
      </c>
      <c r="D228" s="261">
        <v>0</v>
      </c>
      <c r="E228" s="261">
        <v>0</v>
      </c>
      <c r="F228" s="261">
        <v>0</v>
      </c>
      <c r="G228" s="261">
        <f>+C228+D228-E228+F228</f>
        <v>270000000</v>
      </c>
      <c r="H228" s="261">
        <v>0</v>
      </c>
      <c r="I228" s="261">
        <v>54031562</v>
      </c>
      <c r="J228" s="261">
        <f t="shared" si="101"/>
        <v>215968438</v>
      </c>
      <c r="K228" s="261">
        <v>0</v>
      </c>
      <c r="L228" s="261">
        <v>54031562</v>
      </c>
      <c r="M228" s="261">
        <f t="shared" si="106"/>
        <v>0</v>
      </c>
      <c r="N228" s="261">
        <v>215968438</v>
      </c>
      <c r="O228" s="261">
        <v>270000000</v>
      </c>
      <c r="P228" s="261">
        <f t="shared" si="102"/>
        <v>215968438</v>
      </c>
      <c r="Q228" s="177">
        <f t="shared" si="103"/>
        <v>0</v>
      </c>
      <c r="R228" s="261">
        <f t="shared" si="104"/>
        <v>54031562</v>
      </c>
      <c r="T228" s="183" t="s">
        <v>400</v>
      </c>
      <c r="U228" s="259" t="s">
        <v>401</v>
      </c>
      <c r="V228" s="261">
        <v>270000000</v>
      </c>
      <c r="W228" s="261">
        <v>0</v>
      </c>
      <c r="X228" s="261">
        <v>0</v>
      </c>
      <c r="Y228" s="261">
        <v>0</v>
      </c>
      <c r="Z228" s="261">
        <v>270000000</v>
      </c>
      <c r="AA228" s="261">
        <v>0</v>
      </c>
      <c r="AB228" s="261">
        <v>54031562</v>
      </c>
      <c r="AC228" s="261">
        <v>215968438</v>
      </c>
      <c r="AD228" s="261">
        <v>0</v>
      </c>
      <c r="AE228" s="261">
        <v>54031562</v>
      </c>
      <c r="AF228" s="261">
        <v>0</v>
      </c>
      <c r="AG228" s="261">
        <v>215968438</v>
      </c>
      <c r="AH228" s="261">
        <v>270000000</v>
      </c>
      <c r="AI228" s="261">
        <v>215968438</v>
      </c>
      <c r="AJ228" s="261">
        <v>0</v>
      </c>
      <c r="AK228" s="261">
        <v>0</v>
      </c>
      <c r="AL228" s="261">
        <v>215968438</v>
      </c>
      <c r="AM228" s="261">
        <v>270000000</v>
      </c>
      <c r="AN228" s="261">
        <v>270000000</v>
      </c>
      <c r="AO228" s="261">
        <v>215968438</v>
      </c>
      <c r="AP228" s="261">
        <v>0</v>
      </c>
      <c r="AQ228" s="261"/>
      <c r="AS228" s="261"/>
    </row>
    <row r="229" spans="1:45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 t="shared" ref="D229:R229" si="117">+D230+D231+D232</f>
        <v>60000000</v>
      </c>
      <c r="E229" s="9">
        <f t="shared" si="117"/>
        <v>0</v>
      </c>
      <c r="F229" s="9">
        <f t="shared" si="117"/>
        <v>0</v>
      </c>
      <c r="G229" s="9">
        <f t="shared" si="117"/>
        <v>1051534659</v>
      </c>
      <c r="H229" s="9">
        <f t="shared" si="117"/>
        <v>0</v>
      </c>
      <c r="I229" s="9">
        <f t="shared" si="117"/>
        <v>177829358</v>
      </c>
      <c r="J229" s="9">
        <f t="shared" si="101"/>
        <v>873705301</v>
      </c>
      <c r="K229" s="9">
        <f t="shared" si="117"/>
        <v>0</v>
      </c>
      <c r="L229" s="9">
        <f t="shared" si="117"/>
        <v>125958429</v>
      </c>
      <c r="M229" s="9">
        <f t="shared" si="117"/>
        <v>51870929</v>
      </c>
      <c r="N229" s="9">
        <f t="shared" si="117"/>
        <v>865820790</v>
      </c>
      <c r="O229" s="9">
        <f t="shared" si="117"/>
        <v>1048834659</v>
      </c>
      <c r="P229" s="9">
        <f t="shared" si="117"/>
        <v>871005301</v>
      </c>
      <c r="Q229" s="9">
        <f t="shared" si="103"/>
        <v>2700000</v>
      </c>
      <c r="R229" s="9">
        <f t="shared" si="117"/>
        <v>125958429</v>
      </c>
      <c r="T229" s="183" t="s">
        <v>402</v>
      </c>
      <c r="U229" s="259" t="s">
        <v>403</v>
      </c>
      <c r="V229" s="261">
        <v>991534659</v>
      </c>
      <c r="W229" s="261">
        <v>60000000</v>
      </c>
      <c r="X229" s="261">
        <v>0</v>
      </c>
      <c r="Y229" s="261">
        <v>0</v>
      </c>
      <c r="Z229" s="261">
        <v>1051534659</v>
      </c>
      <c r="AA229" s="261">
        <v>0</v>
      </c>
      <c r="AB229" s="261">
        <v>177829358</v>
      </c>
      <c r="AC229" s="261">
        <v>873705301</v>
      </c>
      <c r="AD229" s="261">
        <v>0</v>
      </c>
      <c r="AE229" s="261">
        <v>125958429</v>
      </c>
      <c r="AF229" s="261">
        <v>51870929</v>
      </c>
      <c r="AG229" s="261">
        <v>865820790</v>
      </c>
      <c r="AH229" s="261">
        <v>1048834659</v>
      </c>
      <c r="AI229" s="261">
        <v>871005301</v>
      </c>
      <c r="AJ229" s="261">
        <v>2700000</v>
      </c>
      <c r="AK229" s="261">
        <v>0</v>
      </c>
      <c r="AL229" s="261">
        <v>865820790</v>
      </c>
      <c r="AM229" s="261">
        <v>1048834659</v>
      </c>
      <c r="AN229" s="261">
        <v>1048834659</v>
      </c>
      <c r="AO229" s="261">
        <v>871005301</v>
      </c>
      <c r="AP229" s="261">
        <v>2700000</v>
      </c>
      <c r="AQ229" s="9"/>
      <c r="AS229" s="9"/>
    </row>
    <row r="230" spans="1:45" x14ac:dyDescent="0.25">
      <c r="A230" s="2" t="s">
        <v>404</v>
      </c>
      <c r="B230" s="259" t="s">
        <v>405</v>
      </c>
      <c r="C230" s="261">
        <v>4700000</v>
      </c>
      <c r="D230" s="261">
        <v>0</v>
      </c>
      <c r="E230" s="261">
        <v>0</v>
      </c>
      <c r="F230" s="261">
        <v>0</v>
      </c>
      <c r="G230" s="261">
        <f>+C230+D230-E230+F230</f>
        <v>4700000</v>
      </c>
      <c r="H230" s="261">
        <v>0</v>
      </c>
      <c r="I230" s="261">
        <v>1815489</v>
      </c>
      <c r="J230" s="261">
        <f t="shared" si="101"/>
        <v>2884511</v>
      </c>
      <c r="K230" s="261">
        <v>0</v>
      </c>
      <c r="L230" s="261">
        <v>1815489</v>
      </c>
      <c r="M230" s="261">
        <f t="shared" si="106"/>
        <v>0</v>
      </c>
      <c r="N230" s="261">
        <v>0</v>
      </c>
      <c r="O230" s="261">
        <v>2000000</v>
      </c>
      <c r="P230" s="261">
        <f t="shared" si="102"/>
        <v>184511</v>
      </c>
      <c r="Q230" s="177">
        <f t="shared" si="103"/>
        <v>2700000</v>
      </c>
      <c r="R230" s="261">
        <f t="shared" si="104"/>
        <v>1815489</v>
      </c>
      <c r="T230" s="183" t="s">
        <v>404</v>
      </c>
      <c r="U230" s="259" t="s">
        <v>405</v>
      </c>
      <c r="V230" s="261">
        <v>4700000</v>
      </c>
      <c r="W230" s="261">
        <v>0</v>
      </c>
      <c r="X230" s="261">
        <v>0</v>
      </c>
      <c r="Y230" s="261">
        <v>0</v>
      </c>
      <c r="Z230" s="261">
        <v>4700000</v>
      </c>
      <c r="AA230" s="261">
        <v>0</v>
      </c>
      <c r="AB230" s="261">
        <v>1815489</v>
      </c>
      <c r="AC230" s="261">
        <v>2884511</v>
      </c>
      <c r="AD230" s="261">
        <v>0</v>
      </c>
      <c r="AE230" s="261">
        <v>1815489</v>
      </c>
      <c r="AF230" s="261">
        <v>0</v>
      </c>
      <c r="AG230" s="261">
        <v>0</v>
      </c>
      <c r="AH230" s="261">
        <v>2000000</v>
      </c>
      <c r="AI230" s="261">
        <v>184511</v>
      </c>
      <c r="AJ230" s="261">
        <v>2700000</v>
      </c>
      <c r="AK230" s="261">
        <v>0</v>
      </c>
      <c r="AL230" s="261">
        <v>0</v>
      </c>
      <c r="AM230" s="261">
        <v>2000000</v>
      </c>
      <c r="AN230" s="261">
        <v>2000000</v>
      </c>
      <c r="AO230" s="261">
        <v>184511</v>
      </c>
      <c r="AP230" s="261">
        <v>2700000</v>
      </c>
      <c r="AQ230" s="261"/>
      <c r="AS230" s="261"/>
    </row>
    <row r="231" spans="1:45" x14ac:dyDescent="0.25">
      <c r="A231" s="2" t="s">
        <v>406</v>
      </c>
      <c r="B231" s="259" t="s">
        <v>407</v>
      </c>
      <c r="C231" s="261">
        <v>5000000</v>
      </c>
      <c r="D231" s="261">
        <v>0</v>
      </c>
      <c r="E231" s="261">
        <v>0</v>
      </c>
      <c r="F231" s="261">
        <v>0</v>
      </c>
      <c r="G231" s="261">
        <f>+C231+D231-E231+F231</f>
        <v>5000000</v>
      </c>
      <c r="H231" s="261">
        <v>0</v>
      </c>
      <c r="I231" s="261">
        <v>0</v>
      </c>
      <c r="J231" s="261">
        <f t="shared" si="101"/>
        <v>5000000</v>
      </c>
      <c r="K231" s="261">
        <v>0</v>
      </c>
      <c r="L231" s="261">
        <v>0</v>
      </c>
      <c r="M231" s="261">
        <f t="shared" si="106"/>
        <v>0</v>
      </c>
      <c r="N231" s="261">
        <v>0</v>
      </c>
      <c r="O231" s="261">
        <v>5000000</v>
      </c>
      <c r="P231" s="261">
        <f t="shared" si="102"/>
        <v>5000000</v>
      </c>
      <c r="Q231" s="177">
        <f t="shared" si="103"/>
        <v>0</v>
      </c>
      <c r="R231" s="261">
        <f t="shared" si="104"/>
        <v>0</v>
      </c>
      <c r="T231" s="183" t="s">
        <v>406</v>
      </c>
      <c r="U231" s="259" t="s">
        <v>407</v>
      </c>
      <c r="V231" s="261">
        <v>5000000</v>
      </c>
      <c r="W231" s="261">
        <v>0</v>
      </c>
      <c r="X231" s="261">
        <v>0</v>
      </c>
      <c r="Y231" s="261">
        <v>0</v>
      </c>
      <c r="Z231" s="261">
        <v>5000000</v>
      </c>
      <c r="AA231" s="261">
        <v>0</v>
      </c>
      <c r="AB231" s="261">
        <v>0</v>
      </c>
      <c r="AC231" s="261">
        <v>5000000</v>
      </c>
      <c r="AD231" s="261">
        <v>0</v>
      </c>
      <c r="AE231" s="261">
        <v>0</v>
      </c>
      <c r="AF231" s="261">
        <v>0</v>
      </c>
      <c r="AG231" s="261">
        <v>0</v>
      </c>
      <c r="AH231" s="261">
        <v>5000000</v>
      </c>
      <c r="AI231" s="261">
        <v>5000000</v>
      </c>
      <c r="AJ231" s="261">
        <v>0</v>
      </c>
      <c r="AK231" s="261">
        <v>0</v>
      </c>
      <c r="AL231" s="261">
        <v>0</v>
      </c>
      <c r="AM231" s="261">
        <v>5000000</v>
      </c>
      <c r="AN231" s="261">
        <v>5000000</v>
      </c>
      <c r="AO231" s="261">
        <v>5000000</v>
      </c>
      <c r="AP231" s="261">
        <v>0</v>
      </c>
      <c r="AQ231" s="261"/>
      <c r="AS231" s="261"/>
    </row>
    <row r="232" spans="1:45" x14ac:dyDescent="0.25">
      <c r="A232" s="2" t="s">
        <v>408</v>
      </c>
      <c r="B232" s="259" t="s">
        <v>409</v>
      </c>
      <c r="C232" s="261">
        <v>981834659</v>
      </c>
      <c r="D232" s="261">
        <v>60000000</v>
      </c>
      <c r="E232" s="261">
        <v>0</v>
      </c>
      <c r="F232" s="261">
        <v>0</v>
      </c>
      <c r="G232" s="261">
        <f>+C232+D232-E232+F232</f>
        <v>1041834659</v>
      </c>
      <c r="H232" s="261">
        <v>0</v>
      </c>
      <c r="I232" s="261">
        <v>176013869</v>
      </c>
      <c r="J232" s="261">
        <f t="shared" si="101"/>
        <v>865820790</v>
      </c>
      <c r="K232" s="261">
        <v>0</v>
      </c>
      <c r="L232" s="261">
        <v>124142940</v>
      </c>
      <c r="M232" s="261">
        <f t="shared" si="106"/>
        <v>51870929</v>
      </c>
      <c r="N232" s="261">
        <v>865820790</v>
      </c>
      <c r="O232" s="261">
        <v>1041834659</v>
      </c>
      <c r="P232" s="261">
        <f t="shared" si="102"/>
        <v>865820790</v>
      </c>
      <c r="Q232" s="177">
        <f t="shared" si="103"/>
        <v>0</v>
      </c>
      <c r="R232" s="261">
        <f t="shared" si="104"/>
        <v>124142940</v>
      </c>
      <c r="T232" s="183" t="s">
        <v>408</v>
      </c>
      <c r="U232" s="259" t="s">
        <v>409</v>
      </c>
      <c r="V232" s="261">
        <v>981834659</v>
      </c>
      <c r="W232" s="261">
        <v>60000000</v>
      </c>
      <c r="X232" s="261">
        <v>0</v>
      </c>
      <c r="Y232" s="261">
        <v>0</v>
      </c>
      <c r="Z232" s="261">
        <v>1041834659</v>
      </c>
      <c r="AA232" s="261">
        <v>0</v>
      </c>
      <c r="AB232" s="261">
        <v>176013869</v>
      </c>
      <c r="AC232" s="261">
        <v>865820790</v>
      </c>
      <c r="AD232" s="261">
        <v>0</v>
      </c>
      <c r="AE232" s="261">
        <v>124142940</v>
      </c>
      <c r="AF232" s="261">
        <v>51870929</v>
      </c>
      <c r="AG232" s="261">
        <v>865820790</v>
      </c>
      <c r="AH232" s="261">
        <v>1041834659</v>
      </c>
      <c r="AI232" s="261">
        <v>865820790</v>
      </c>
      <c r="AJ232" s="261">
        <v>0</v>
      </c>
      <c r="AK232" s="261">
        <v>0</v>
      </c>
      <c r="AL232" s="261">
        <v>865820790</v>
      </c>
      <c r="AM232" s="261">
        <v>1041834659</v>
      </c>
      <c r="AN232" s="261">
        <v>1041834659</v>
      </c>
      <c r="AO232" s="261">
        <v>865820790</v>
      </c>
      <c r="AP232" s="261">
        <v>0</v>
      </c>
      <c r="AQ232" s="261"/>
      <c r="AS232" s="261"/>
    </row>
    <row r="233" spans="1:45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 t="shared" ref="D233:R233" si="118">+D234+D236</f>
        <v>486000000</v>
      </c>
      <c r="E233" s="9">
        <f t="shared" si="118"/>
        <v>0</v>
      </c>
      <c r="F233" s="9">
        <f t="shared" si="118"/>
        <v>0</v>
      </c>
      <c r="G233" s="9">
        <f t="shared" si="118"/>
        <v>1556341041</v>
      </c>
      <c r="H233" s="9">
        <f t="shared" si="118"/>
        <v>398399997</v>
      </c>
      <c r="I233" s="9">
        <f t="shared" si="118"/>
        <v>864381942.98000002</v>
      </c>
      <c r="J233" s="9">
        <f t="shared" si="101"/>
        <v>691959098.01999998</v>
      </c>
      <c r="K233" s="9">
        <f t="shared" si="118"/>
        <v>6400000</v>
      </c>
      <c r="L233" s="9">
        <f t="shared" si="118"/>
        <v>21282001.98</v>
      </c>
      <c r="M233" s="9">
        <f t="shared" si="118"/>
        <v>843099941</v>
      </c>
      <c r="N233" s="9">
        <f t="shared" si="118"/>
        <v>899997</v>
      </c>
      <c r="O233" s="9">
        <f t="shared" si="118"/>
        <v>1549981998.98</v>
      </c>
      <c r="P233" s="9">
        <f t="shared" si="118"/>
        <v>685600056</v>
      </c>
      <c r="Q233" s="9">
        <f t="shared" si="103"/>
        <v>6359042.0199999809</v>
      </c>
      <c r="R233" s="9">
        <f t="shared" si="118"/>
        <v>21282001.98</v>
      </c>
      <c r="T233" s="183" t="s">
        <v>410</v>
      </c>
      <c r="U233" s="259" t="s">
        <v>411</v>
      </c>
      <c r="V233" s="261">
        <v>1070341041</v>
      </c>
      <c r="W233" s="261">
        <v>486000000</v>
      </c>
      <c r="X233" s="261">
        <v>0</v>
      </c>
      <c r="Y233" s="261">
        <v>0</v>
      </c>
      <c r="Z233" s="261">
        <v>1556341041</v>
      </c>
      <c r="AA233" s="261">
        <v>398399997</v>
      </c>
      <c r="AB233" s="261">
        <v>864381942.98000002</v>
      </c>
      <c r="AC233" s="261">
        <v>691959098.01999998</v>
      </c>
      <c r="AD233" s="261">
        <v>6400000</v>
      </c>
      <c r="AE233" s="261">
        <v>21282001.98</v>
      </c>
      <c r="AF233" s="261">
        <v>843099941</v>
      </c>
      <c r="AG233" s="261">
        <v>899997</v>
      </c>
      <c r="AH233" s="261">
        <v>1549981998.98</v>
      </c>
      <c r="AI233" s="261">
        <v>685600056</v>
      </c>
      <c r="AJ233" s="261">
        <v>6359042.0199999809</v>
      </c>
      <c r="AK233" s="261">
        <v>0</v>
      </c>
      <c r="AL233" s="261">
        <v>0</v>
      </c>
      <c r="AM233" s="261">
        <v>1549082001.98</v>
      </c>
      <c r="AN233" s="261">
        <v>1549082001.98</v>
      </c>
      <c r="AO233" s="261">
        <v>832600056</v>
      </c>
      <c r="AP233" s="261">
        <v>7259039.0199999809</v>
      </c>
      <c r="AQ233" s="9"/>
      <c r="AS233" s="9"/>
    </row>
    <row r="234" spans="1:45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 t="shared" ref="D234:R234" si="119">+D235</f>
        <v>481000000</v>
      </c>
      <c r="E234" s="9">
        <f t="shared" si="119"/>
        <v>0</v>
      </c>
      <c r="F234" s="9">
        <f t="shared" si="119"/>
        <v>0</v>
      </c>
      <c r="G234" s="9">
        <f t="shared" si="119"/>
        <v>1551341041</v>
      </c>
      <c r="H234" s="9">
        <f t="shared" si="119"/>
        <v>398399997</v>
      </c>
      <c r="I234" s="9">
        <f t="shared" si="119"/>
        <v>862881942.98000002</v>
      </c>
      <c r="J234" s="9">
        <f t="shared" si="101"/>
        <v>688459098.01999998</v>
      </c>
      <c r="K234" s="9">
        <f t="shared" si="119"/>
        <v>6400000</v>
      </c>
      <c r="L234" s="9">
        <f t="shared" si="119"/>
        <v>19782001.98</v>
      </c>
      <c r="M234" s="9">
        <f t="shared" si="119"/>
        <v>843099941</v>
      </c>
      <c r="N234" s="9">
        <f t="shared" si="119"/>
        <v>899997</v>
      </c>
      <c r="O234" s="9">
        <f t="shared" si="119"/>
        <v>1548481998.98</v>
      </c>
      <c r="P234" s="9">
        <f t="shared" si="119"/>
        <v>685600056</v>
      </c>
      <c r="Q234" s="9">
        <f t="shared" si="103"/>
        <v>2859042.0199999809</v>
      </c>
      <c r="R234" s="9">
        <f t="shared" si="119"/>
        <v>19782001.98</v>
      </c>
      <c r="T234" s="183" t="s">
        <v>412</v>
      </c>
      <c r="U234" s="259" t="s">
        <v>413</v>
      </c>
      <c r="V234" s="261">
        <v>1070341041</v>
      </c>
      <c r="W234" s="261">
        <v>481000000</v>
      </c>
      <c r="X234" s="261">
        <v>0</v>
      </c>
      <c r="Y234" s="261">
        <v>0</v>
      </c>
      <c r="Z234" s="261">
        <v>1551341041</v>
      </c>
      <c r="AA234" s="261">
        <v>398399997</v>
      </c>
      <c r="AB234" s="261">
        <v>862881942.98000002</v>
      </c>
      <c r="AC234" s="261">
        <v>688459098.01999998</v>
      </c>
      <c r="AD234" s="261">
        <v>6400000</v>
      </c>
      <c r="AE234" s="261">
        <v>19782001.98</v>
      </c>
      <c r="AF234" s="261">
        <v>843099941</v>
      </c>
      <c r="AG234" s="261">
        <v>899997</v>
      </c>
      <c r="AH234" s="261">
        <v>1548481998.98</v>
      </c>
      <c r="AI234" s="261">
        <v>685600056</v>
      </c>
      <c r="AJ234" s="261">
        <v>2859042.0199999809</v>
      </c>
      <c r="AK234" s="261">
        <v>0</v>
      </c>
      <c r="AL234" s="261">
        <v>0</v>
      </c>
      <c r="AM234" s="261">
        <v>1547582001.98</v>
      </c>
      <c r="AN234" s="261">
        <v>1547582001.98</v>
      </c>
      <c r="AO234" s="261">
        <v>832600056</v>
      </c>
      <c r="AP234" s="261">
        <v>3759039.0199999809</v>
      </c>
      <c r="AQ234" s="9"/>
      <c r="AS234" s="9"/>
    </row>
    <row r="235" spans="1:45" x14ac:dyDescent="0.25">
      <c r="A235" s="2" t="s">
        <v>414</v>
      </c>
      <c r="B235" s="259" t="s">
        <v>415</v>
      </c>
      <c r="C235" s="261">
        <v>1070341041</v>
      </c>
      <c r="D235" s="261">
        <v>481000000</v>
      </c>
      <c r="E235" s="261">
        <v>0</v>
      </c>
      <c r="F235" s="261">
        <v>0</v>
      </c>
      <c r="G235" s="261">
        <f>+C235+D235-E235+F235</f>
        <v>1551341041</v>
      </c>
      <c r="H235" s="261">
        <v>398399997</v>
      </c>
      <c r="I235" s="261">
        <v>862881942.98000002</v>
      </c>
      <c r="J235" s="261">
        <f t="shared" si="101"/>
        <v>688459098.01999998</v>
      </c>
      <c r="K235" s="261">
        <v>6400000</v>
      </c>
      <c r="L235" s="261">
        <v>19782001.98</v>
      </c>
      <c r="M235" s="261">
        <f t="shared" si="106"/>
        <v>843099941</v>
      </c>
      <c r="N235" s="261">
        <v>899997</v>
      </c>
      <c r="O235" s="261">
        <v>1548481998.98</v>
      </c>
      <c r="P235" s="261">
        <f t="shared" si="102"/>
        <v>685600056</v>
      </c>
      <c r="Q235" s="177">
        <f t="shared" si="103"/>
        <v>2859042.0199999809</v>
      </c>
      <c r="R235" s="261">
        <f t="shared" si="104"/>
        <v>19782001.98</v>
      </c>
      <c r="T235" s="183" t="s">
        <v>414</v>
      </c>
      <c r="U235" s="259" t="s">
        <v>415</v>
      </c>
      <c r="V235" s="261">
        <v>1070341041</v>
      </c>
      <c r="W235" s="261">
        <v>481000000</v>
      </c>
      <c r="X235" s="261">
        <v>0</v>
      </c>
      <c r="Y235" s="261">
        <v>0</v>
      </c>
      <c r="Z235" s="261">
        <v>1551341041</v>
      </c>
      <c r="AA235" s="261">
        <v>398399997</v>
      </c>
      <c r="AB235" s="261">
        <v>862881942.98000002</v>
      </c>
      <c r="AC235" s="261">
        <v>688459098.01999998</v>
      </c>
      <c r="AD235" s="261">
        <v>6400000</v>
      </c>
      <c r="AE235" s="261">
        <v>19782001.98</v>
      </c>
      <c r="AF235" s="261">
        <v>843099941</v>
      </c>
      <c r="AG235" s="261">
        <v>899997</v>
      </c>
      <c r="AH235" s="261">
        <v>1548481998.98</v>
      </c>
      <c r="AI235" s="261">
        <v>685600056</v>
      </c>
      <c r="AJ235" s="261">
        <v>2859042.0199999809</v>
      </c>
      <c r="AK235" s="261">
        <v>0</v>
      </c>
      <c r="AL235" s="261">
        <v>0</v>
      </c>
      <c r="AM235" s="261">
        <v>1547582001.98</v>
      </c>
      <c r="AN235" s="261">
        <v>1547582001.98</v>
      </c>
      <c r="AO235" s="261">
        <v>832600056</v>
      </c>
      <c r="AP235" s="261">
        <v>3759039.0199999809</v>
      </c>
      <c r="AQ235" s="261"/>
      <c r="AS235" s="261"/>
    </row>
    <row r="236" spans="1:45" s="1" customFormat="1" x14ac:dyDescent="0.25">
      <c r="A236" s="7" t="s">
        <v>1132</v>
      </c>
      <c r="B236" s="8" t="s">
        <v>1133</v>
      </c>
      <c r="C236" s="9">
        <f>+C237</f>
        <v>0</v>
      </c>
      <c r="D236" s="9">
        <f t="shared" ref="D236:R236" si="120">+D237</f>
        <v>5000000</v>
      </c>
      <c r="E236" s="9">
        <f t="shared" si="120"/>
        <v>0</v>
      </c>
      <c r="F236" s="9">
        <f t="shared" si="120"/>
        <v>0</v>
      </c>
      <c r="G236" s="9">
        <f t="shared" si="120"/>
        <v>5000000</v>
      </c>
      <c r="H236" s="9">
        <f t="shared" si="120"/>
        <v>0</v>
      </c>
      <c r="I236" s="9">
        <f t="shared" si="120"/>
        <v>1500000</v>
      </c>
      <c r="J236" s="9">
        <f t="shared" si="101"/>
        <v>3500000</v>
      </c>
      <c r="K236" s="9">
        <f t="shared" si="120"/>
        <v>0</v>
      </c>
      <c r="L236" s="9">
        <f t="shared" si="120"/>
        <v>1500000</v>
      </c>
      <c r="M236" s="9">
        <f t="shared" si="120"/>
        <v>0</v>
      </c>
      <c r="N236" s="9">
        <f t="shared" si="120"/>
        <v>0</v>
      </c>
      <c r="O236" s="9">
        <f t="shared" si="120"/>
        <v>1500000</v>
      </c>
      <c r="P236" s="9">
        <f t="shared" si="120"/>
        <v>0</v>
      </c>
      <c r="Q236" s="9">
        <f t="shared" si="103"/>
        <v>3500000</v>
      </c>
      <c r="R236" s="9">
        <f t="shared" si="120"/>
        <v>1500000</v>
      </c>
      <c r="T236" s="183" t="s">
        <v>1132</v>
      </c>
      <c r="U236" s="259" t="s">
        <v>1133</v>
      </c>
      <c r="V236" s="261">
        <v>0</v>
      </c>
      <c r="W236" s="261">
        <v>5000000</v>
      </c>
      <c r="X236" s="261">
        <v>0</v>
      </c>
      <c r="Y236" s="261">
        <v>0</v>
      </c>
      <c r="Z236" s="261">
        <v>5000000</v>
      </c>
      <c r="AA236" s="261">
        <v>0</v>
      </c>
      <c r="AB236" s="261">
        <v>1500000</v>
      </c>
      <c r="AC236" s="261">
        <v>3500000</v>
      </c>
      <c r="AD236" s="261">
        <v>0</v>
      </c>
      <c r="AE236" s="261">
        <v>1500000</v>
      </c>
      <c r="AF236" s="261">
        <v>0</v>
      </c>
      <c r="AG236" s="261">
        <v>0</v>
      </c>
      <c r="AH236" s="261">
        <v>1500000</v>
      </c>
      <c r="AI236" s="261">
        <v>0</v>
      </c>
      <c r="AJ236" s="261">
        <v>3500000</v>
      </c>
      <c r="AK236" s="261">
        <v>0</v>
      </c>
      <c r="AL236" s="261">
        <v>0</v>
      </c>
      <c r="AM236" s="261">
        <v>1500000</v>
      </c>
      <c r="AN236" s="261">
        <v>1500000</v>
      </c>
      <c r="AO236" s="261">
        <v>0</v>
      </c>
      <c r="AP236" s="261">
        <v>3500000</v>
      </c>
      <c r="AQ236" s="9"/>
      <c r="AS236" s="9"/>
    </row>
    <row r="237" spans="1:45" x14ac:dyDescent="0.25">
      <c r="A237" s="183" t="s">
        <v>1134</v>
      </c>
      <c r="B237" s="259" t="s">
        <v>1135</v>
      </c>
      <c r="C237" s="261"/>
      <c r="D237" s="261">
        <v>5000000</v>
      </c>
      <c r="E237" s="261"/>
      <c r="F237" s="261"/>
      <c r="G237" s="261">
        <f>+C237+D237-E237+F237</f>
        <v>5000000</v>
      </c>
      <c r="H237" s="261">
        <v>0</v>
      </c>
      <c r="I237" s="261">
        <v>1500000</v>
      </c>
      <c r="J237" s="261">
        <f t="shared" si="101"/>
        <v>3500000</v>
      </c>
      <c r="K237" s="261">
        <v>0</v>
      </c>
      <c r="L237" s="261">
        <v>1500000</v>
      </c>
      <c r="M237" s="261">
        <f t="shared" si="106"/>
        <v>0</v>
      </c>
      <c r="N237" s="261">
        <v>0</v>
      </c>
      <c r="O237" s="261">
        <v>1500000</v>
      </c>
      <c r="P237" s="261">
        <f t="shared" si="102"/>
        <v>0</v>
      </c>
      <c r="Q237" s="177">
        <f t="shared" si="103"/>
        <v>3500000</v>
      </c>
      <c r="R237" s="261">
        <f t="shared" si="104"/>
        <v>1500000</v>
      </c>
      <c r="T237" s="183" t="s">
        <v>1134</v>
      </c>
      <c r="U237" s="259" t="s">
        <v>1135</v>
      </c>
      <c r="V237" s="261">
        <v>0</v>
      </c>
      <c r="W237" s="261">
        <v>5000000</v>
      </c>
      <c r="X237" s="261">
        <v>0</v>
      </c>
      <c r="Y237" s="261">
        <v>0</v>
      </c>
      <c r="Z237" s="261">
        <v>5000000</v>
      </c>
      <c r="AA237" s="261">
        <v>0</v>
      </c>
      <c r="AB237" s="261">
        <v>1500000</v>
      </c>
      <c r="AC237" s="261">
        <v>3500000</v>
      </c>
      <c r="AD237" s="261">
        <v>0</v>
      </c>
      <c r="AE237" s="261">
        <v>1500000</v>
      </c>
      <c r="AF237" s="261">
        <v>0</v>
      </c>
      <c r="AG237" s="261">
        <v>0</v>
      </c>
      <c r="AH237" s="261">
        <v>1500000</v>
      </c>
      <c r="AI237" s="261">
        <v>0</v>
      </c>
      <c r="AJ237" s="261">
        <v>3500000</v>
      </c>
      <c r="AK237" s="261">
        <v>0</v>
      </c>
      <c r="AL237" s="261">
        <v>0</v>
      </c>
      <c r="AM237" s="261">
        <v>1500000</v>
      </c>
      <c r="AN237" s="261">
        <v>1500000</v>
      </c>
      <c r="AO237" s="261">
        <v>0</v>
      </c>
      <c r="AP237" s="261">
        <v>3500000</v>
      </c>
      <c r="AQ237" s="261"/>
      <c r="AS237" s="261"/>
    </row>
    <row r="238" spans="1:45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 t="shared" ref="D238:R238" si="121">+D239</f>
        <v>192532905</v>
      </c>
      <c r="E238" s="9">
        <f t="shared" si="121"/>
        <v>0</v>
      </c>
      <c r="F238" s="9">
        <f t="shared" si="121"/>
        <v>0</v>
      </c>
      <c r="G238" s="9">
        <f t="shared" si="121"/>
        <v>192532905</v>
      </c>
      <c r="H238" s="9">
        <f t="shared" si="121"/>
        <v>0</v>
      </c>
      <c r="I238" s="9">
        <f t="shared" si="121"/>
        <v>192532905</v>
      </c>
      <c r="J238" s="9">
        <f t="shared" si="101"/>
        <v>0</v>
      </c>
      <c r="K238" s="9">
        <f t="shared" si="121"/>
        <v>21344302</v>
      </c>
      <c r="L238" s="9">
        <f t="shared" si="121"/>
        <v>32016453</v>
      </c>
      <c r="M238" s="9">
        <f t="shared" si="121"/>
        <v>160516452</v>
      </c>
      <c r="N238" s="9">
        <f t="shared" si="121"/>
        <v>0</v>
      </c>
      <c r="O238" s="9">
        <f t="shared" si="121"/>
        <v>192532905</v>
      </c>
      <c r="P238" s="9">
        <f t="shared" si="121"/>
        <v>0</v>
      </c>
      <c r="Q238" s="9">
        <f t="shared" si="103"/>
        <v>0</v>
      </c>
      <c r="R238" s="9">
        <f t="shared" si="121"/>
        <v>32016453</v>
      </c>
      <c r="T238" s="183" t="s">
        <v>416</v>
      </c>
      <c r="U238" s="259" t="s">
        <v>417</v>
      </c>
      <c r="V238" s="261">
        <v>0</v>
      </c>
      <c r="W238" s="261">
        <v>192532905</v>
      </c>
      <c r="X238" s="261">
        <v>0</v>
      </c>
      <c r="Y238" s="261">
        <v>0</v>
      </c>
      <c r="Z238" s="261">
        <v>192532905</v>
      </c>
      <c r="AA238" s="261">
        <v>0</v>
      </c>
      <c r="AB238" s="261">
        <v>192532905</v>
      </c>
      <c r="AC238" s="261">
        <v>0</v>
      </c>
      <c r="AD238" s="261">
        <v>21344302</v>
      </c>
      <c r="AE238" s="261">
        <v>32016453</v>
      </c>
      <c r="AF238" s="261">
        <v>160516452</v>
      </c>
      <c r="AG238" s="261">
        <v>0</v>
      </c>
      <c r="AH238" s="261">
        <v>192532905</v>
      </c>
      <c r="AI238" s="261">
        <v>0</v>
      </c>
      <c r="AJ238" s="261">
        <v>0</v>
      </c>
      <c r="AK238" s="261">
        <v>0</v>
      </c>
      <c r="AL238" s="261">
        <v>0</v>
      </c>
      <c r="AM238" s="261">
        <v>192532905</v>
      </c>
      <c r="AN238" s="261">
        <v>192532905</v>
      </c>
      <c r="AO238" s="261">
        <v>0</v>
      </c>
      <c r="AP238" s="261">
        <v>0</v>
      </c>
      <c r="AQ238" s="9"/>
      <c r="AS238" s="9"/>
    </row>
    <row r="239" spans="1:45" s="1" customFormat="1" x14ac:dyDescent="0.25">
      <c r="A239" s="2" t="s">
        <v>418</v>
      </c>
      <c r="B239" s="259" t="s">
        <v>419</v>
      </c>
      <c r="C239" s="261">
        <v>0</v>
      </c>
      <c r="D239" s="261">
        <v>192532905</v>
      </c>
      <c r="E239" s="261">
        <v>0</v>
      </c>
      <c r="F239" s="261">
        <v>0</v>
      </c>
      <c r="G239" s="261">
        <f>+C239+D239-E239+F239</f>
        <v>192532905</v>
      </c>
      <c r="H239" s="261">
        <v>0</v>
      </c>
      <c r="I239" s="261">
        <v>192532905</v>
      </c>
      <c r="J239" s="261">
        <f t="shared" si="101"/>
        <v>0</v>
      </c>
      <c r="K239" s="261">
        <v>21344302</v>
      </c>
      <c r="L239" s="261">
        <v>32016453</v>
      </c>
      <c r="M239" s="261">
        <f t="shared" si="106"/>
        <v>160516452</v>
      </c>
      <c r="N239" s="261">
        <v>0</v>
      </c>
      <c r="O239" s="261">
        <v>192532905</v>
      </c>
      <c r="P239" s="261">
        <f t="shared" si="102"/>
        <v>0</v>
      </c>
      <c r="Q239" s="177">
        <f t="shared" si="103"/>
        <v>0</v>
      </c>
      <c r="R239" s="261">
        <f t="shared" si="104"/>
        <v>32016453</v>
      </c>
      <c r="S239" s="257"/>
      <c r="T239" s="183" t="s">
        <v>418</v>
      </c>
      <c r="U239" s="259" t="s">
        <v>419</v>
      </c>
      <c r="V239" s="261">
        <v>0</v>
      </c>
      <c r="W239" s="261">
        <v>192532905</v>
      </c>
      <c r="X239" s="261">
        <v>0</v>
      </c>
      <c r="Y239" s="261">
        <v>0</v>
      </c>
      <c r="Z239" s="261">
        <v>192532905</v>
      </c>
      <c r="AA239" s="261">
        <v>0</v>
      </c>
      <c r="AB239" s="261">
        <v>192532905</v>
      </c>
      <c r="AC239" s="261">
        <v>0</v>
      </c>
      <c r="AD239" s="261">
        <v>21344302</v>
      </c>
      <c r="AE239" s="261">
        <v>32016453</v>
      </c>
      <c r="AF239" s="261">
        <v>160516452</v>
      </c>
      <c r="AG239" s="261">
        <v>0</v>
      </c>
      <c r="AH239" s="261">
        <v>192532905</v>
      </c>
      <c r="AI239" s="261">
        <v>0</v>
      </c>
      <c r="AJ239" s="261">
        <v>0</v>
      </c>
      <c r="AK239" s="261">
        <v>0</v>
      </c>
      <c r="AL239" s="261">
        <v>0</v>
      </c>
      <c r="AM239" s="261">
        <v>192532905</v>
      </c>
      <c r="AN239" s="261">
        <v>192532905</v>
      </c>
      <c r="AO239" s="261">
        <v>0</v>
      </c>
      <c r="AP239" s="261">
        <v>0</v>
      </c>
      <c r="AQ239" s="261"/>
      <c r="AS239" s="261"/>
    </row>
    <row r="240" spans="1:45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 t="shared" ref="D240:R240" si="122">+D241+D243+D249+D252+D254+D257+D268</f>
        <v>926500000</v>
      </c>
      <c r="E240" s="9">
        <f t="shared" si="122"/>
        <v>0</v>
      </c>
      <c r="F240" s="9">
        <f t="shared" si="122"/>
        <v>0</v>
      </c>
      <c r="G240" s="9">
        <f t="shared" si="122"/>
        <v>5343033045</v>
      </c>
      <c r="H240" s="9">
        <f t="shared" si="122"/>
        <v>267524638</v>
      </c>
      <c r="I240" s="9">
        <f t="shared" si="122"/>
        <v>3609793868.0500002</v>
      </c>
      <c r="J240" s="9">
        <f t="shared" si="101"/>
        <v>1733239176.9499998</v>
      </c>
      <c r="K240" s="9">
        <f t="shared" si="122"/>
        <v>467993714.13</v>
      </c>
      <c r="L240" s="9">
        <f t="shared" si="122"/>
        <v>1490177508.1300001</v>
      </c>
      <c r="M240" s="9">
        <f t="shared" si="122"/>
        <v>2119616359.9200001</v>
      </c>
      <c r="N240" s="9">
        <f t="shared" si="122"/>
        <v>101367920</v>
      </c>
      <c r="O240" s="9">
        <f t="shared" si="122"/>
        <v>4599764364</v>
      </c>
      <c r="P240" s="9">
        <f t="shared" si="122"/>
        <v>989970495.95000005</v>
      </c>
      <c r="Q240" s="9">
        <f t="shared" si="103"/>
        <v>743268681</v>
      </c>
      <c r="R240" s="9">
        <f t="shared" si="122"/>
        <v>1490177508.1300001</v>
      </c>
      <c r="S240" s="1"/>
      <c r="T240" s="183" t="s">
        <v>420</v>
      </c>
      <c r="U240" s="259" t="s">
        <v>421</v>
      </c>
      <c r="V240" s="261">
        <v>4416533045</v>
      </c>
      <c r="W240" s="261">
        <v>926500000</v>
      </c>
      <c r="X240" s="261">
        <v>0</v>
      </c>
      <c r="Y240" s="261">
        <v>0</v>
      </c>
      <c r="Z240" s="261">
        <v>5343033045</v>
      </c>
      <c r="AA240" s="261">
        <v>267524638</v>
      </c>
      <c r="AB240" s="261">
        <v>3609793868.0500002</v>
      </c>
      <c r="AC240" s="261">
        <v>1733239176.9499998</v>
      </c>
      <c r="AD240" s="261">
        <v>467993714.13</v>
      </c>
      <c r="AE240" s="261">
        <v>1490177508.1300001</v>
      </c>
      <c r="AF240" s="261">
        <v>2122616359.9200001</v>
      </c>
      <c r="AG240" s="261">
        <v>101367920</v>
      </c>
      <c r="AH240" s="261">
        <v>4599764364</v>
      </c>
      <c r="AI240" s="261">
        <v>989970495.94999981</v>
      </c>
      <c r="AJ240" s="261">
        <v>743268681</v>
      </c>
      <c r="AK240" s="261">
        <v>259700000</v>
      </c>
      <c r="AL240" s="261">
        <v>38953181</v>
      </c>
      <c r="AM240" s="261">
        <v>4874090490</v>
      </c>
      <c r="AN240" s="261">
        <v>4614390490</v>
      </c>
      <c r="AO240" s="261">
        <v>1113460222.9499998</v>
      </c>
      <c r="AP240" s="261">
        <v>728642555</v>
      </c>
      <c r="AQ240" s="9"/>
      <c r="AS240" s="9"/>
    </row>
    <row r="241" spans="1:45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 t="shared" ref="D241:R241" si="123">+D242</f>
        <v>0</v>
      </c>
      <c r="E241" s="9">
        <f t="shared" si="123"/>
        <v>0</v>
      </c>
      <c r="F241" s="9">
        <f t="shared" si="123"/>
        <v>0</v>
      </c>
      <c r="G241" s="9">
        <f t="shared" si="123"/>
        <v>750000000</v>
      </c>
      <c r="H241" s="9">
        <f t="shared" si="123"/>
        <v>1800000</v>
      </c>
      <c r="I241" s="9">
        <f t="shared" si="123"/>
        <v>403350134.05000001</v>
      </c>
      <c r="J241" s="9">
        <f t="shared" si="101"/>
        <v>346649865.94999999</v>
      </c>
      <c r="K241" s="9">
        <f t="shared" si="123"/>
        <v>181959048.13</v>
      </c>
      <c r="L241" s="9">
        <f t="shared" si="123"/>
        <v>230070464.13</v>
      </c>
      <c r="M241" s="9">
        <f t="shared" si="123"/>
        <v>173279669.92000002</v>
      </c>
      <c r="N241" s="9">
        <f t="shared" si="123"/>
        <v>4500000</v>
      </c>
      <c r="O241" s="9">
        <f t="shared" si="123"/>
        <v>723970000</v>
      </c>
      <c r="P241" s="9">
        <f t="shared" si="123"/>
        <v>320619865.94999999</v>
      </c>
      <c r="Q241" s="9">
        <f t="shared" si="103"/>
        <v>26030000</v>
      </c>
      <c r="R241" s="9">
        <f t="shared" si="123"/>
        <v>230070464.13</v>
      </c>
      <c r="T241" s="183" t="s">
        <v>422</v>
      </c>
      <c r="U241" s="259" t="s">
        <v>423</v>
      </c>
      <c r="V241" s="261">
        <v>750000000</v>
      </c>
      <c r="W241" s="261">
        <v>0</v>
      </c>
      <c r="X241" s="261">
        <v>0</v>
      </c>
      <c r="Y241" s="261">
        <v>0</v>
      </c>
      <c r="Z241" s="261">
        <v>750000000</v>
      </c>
      <c r="AA241" s="261">
        <v>1800000</v>
      </c>
      <c r="AB241" s="261">
        <v>403350134.05000001</v>
      </c>
      <c r="AC241" s="261">
        <v>346649865.94999999</v>
      </c>
      <c r="AD241" s="261">
        <v>181959048.13</v>
      </c>
      <c r="AE241" s="261">
        <v>230070464.13</v>
      </c>
      <c r="AF241" s="261">
        <v>173279669.92000002</v>
      </c>
      <c r="AG241" s="261">
        <v>4500000</v>
      </c>
      <c r="AH241" s="261">
        <v>723970000</v>
      </c>
      <c r="AI241" s="261">
        <v>320619865.94999999</v>
      </c>
      <c r="AJ241" s="261">
        <v>26030000</v>
      </c>
      <c r="AK241" s="261">
        <v>0</v>
      </c>
      <c r="AL241" s="261">
        <v>4500000</v>
      </c>
      <c r="AM241" s="261">
        <v>723970000</v>
      </c>
      <c r="AN241" s="261">
        <v>723970000</v>
      </c>
      <c r="AO241" s="261">
        <v>321869865.94999999</v>
      </c>
      <c r="AP241" s="261">
        <v>26030000</v>
      </c>
      <c r="AQ241" s="9"/>
      <c r="AS241" s="9"/>
    </row>
    <row r="242" spans="1:45" s="1" customFormat="1" x14ac:dyDescent="0.25">
      <c r="A242" s="2" t="s">
        <v>424</v>
      </c>
      <c r="B242" s="259" t="s">
        <v>425</v>
      </c>
      <c r="C242" s="261">
        <v>750000000</v>
      </c>
      <c r="D242" s="261">
        <v>0</v>
      </c>
      <c r="E242" s="261">
        <v>0</v>
      </c>
      <c r="F242" s="261">
        <v>0</v>
      </c>
      <c r="G242" s="261">
        <f>+C242+D242-E242+F242</f>
        <v>750000000</v>
      </c>
      <c r="H242" s="261">
        <v>1800000</v>
      </c>
      <c r="I242" s="261">
        <v>403350134.05000001</v>
      </c>
      <c r="J242" s="261">
        <f t="shared" si="101"/>
        <v>346649865.94999999</v>
      </c>
      <c r="K242" s="261">
        <v>181959048.13</v>
      </c>
      <c r="L242" s="261">
        <v>230070464.13</v>
      </c>
      <c r="M242" s="261">
        <f t="shared" si="106"/>
        <v>173279669.92000002</v>
      </c>
      <c r="N242" s="261">
        <v>4500000</v>
      </c>
      <c r="O242" s="261">
        <v>723970000</v>
      </c>
      <c r="P242" s="261">
        <f t="shared" si="102"/>
        <v>320619865.94999999</v>
      </c>
      <c r="Q242" s="177">
        <f t="shared" si="103"/>
        <v>26030000</v>
      </c>
      <c r="R242" s="261">
        <f t="shared" si="104"/>
        <v>230070464.13</v>
      </c>
      <c r="S242" s="257"/>
      <c r="T242" s="183" t="s">
        <v>424</v>
      </c>
      <c r="U242" s="259" t="s">
        <v>425</v>
      </c>
      <c r="V242" s="261">
        <v>750000000</v>
      </c>
      <c r="W242" s="261">
        <v>0</v>
      </c>
      <c r="X242" s="261">
        <v>0</v>
      </c>
      <c r="Y242" s="261">
        <v>0</v>
      </c>
      <c r="Z242" s="261">
        <v>750000000</v>
      </c>
      <c r="AA242" s="261">
        <v>1800000</v>
      </c>
      <c r="AB242" s="261">
        <v>403350134.05000001</v>
      </c>
      <c r="AC242" s="261">
        <v>346649865.94999999</v>
      </c>
      <c r="AD242" s="261">
        <v>181959048.13</v>
      </c>
      <c r="AE242" s="261">
        <v>230070464.13</v>
      </c>
      <c r="AF242" s="261">
        <v>173279669.92000002</v>
      </c>
      <c r="AG242" s="261">
        <v>4500000</v>
      </c>
      <c r="AH242" s="261">
        <v>723970000</v>
      </c>
      <c r="AI242" s="261">
        <v>320619865.94999999</v>
      </c>
      <c r="AJ242" s="261">
        <v>26030000</v>
      </c>
      <c r="AK242" s="261">
        <v>0</v>
      </c>
      <c r="AL242" s="261">
        <v>4500000</v>
      </c>
      <c r="AM242" s="261">
        <v>723970000</v>
      </c>
      <c r="AN242" s="261">
        <v>723970000</v>
      </c>
      <c r="AO242" s="261">
        <v>321869865.94999999</v>
      </c>
      <c r="AP242" s="261">
        <v>26030000</v>
      </c>
      <c r="AQ242" s="261"/>
      <c r="AS242" s="261"/>
    </row>
    <row r="243" spans="1:45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 t="shared" ref="D243:R243" si="124">+D244+D246+D247+D248</f>
        <v>761500000</v>
      </c>
      <c r="E243" s="9">
        <f t="shared" si="124"/>
        <v>0</v>
      </c>
      <c r="F243" s="9">
        <f t="shared" si="124"/>
        <v>0</v>
      </c>
      <c r="G243" s="9">
        <f t="shared" si="124"/>
        <v>2740222110</v>
      </c>
      <c r="H243" s="9">
        <f t="shared" si="124"/>
        <v>209933467</v>
      </c>
      <c r="I243" s="9">
        <f t="shared" si="124"/>
        <v>2034873973</v>
      </c>
      <c r="J243" s="9">
        <f t="shared" si="101"/>
        <v>705348137</v>
      </c>
      <c r="K243" s="9">
        <f t="shared" si="124"/>
        <v>262080005</v>
      </c>
      <c r="L243" s="9">
        <f t="shared" si="124"/>
        <v>912725408</v>
      </c>
      <c r="M243" s="9">
        <f t="shared" si="124"/>
        <v>1122148565</v>
      </c>
      <c r="N243" s="9">
        <f t="shared" si="124"/>
        <v>83275611</v>
      </c>
      <c r="O243" s="9">
        <f t="shared" si="124"/>
        <v>2509846284</v>
      </c>
      <c r="P243" s="9">
        <f t="shared" si="124"/>
        <v>474972311</v>
      </c>
      <c r="Q243" s="9">
        <f t="shared" si="103"/>
        <v>230375826</v>
      </c>
      <c r="R243" s="9">
        <f t="shared" si="124"/>
        <v>912725408</v>
      </c>
      <c r="S243" s="1"/>
      <c r="T243" s="183" t="s">
        <v>426</v>
      </c>
      <c r="U243" s="259" t="s">
        <v>427</v>
      </c>
      <c r="V243" s="261">
        <v>1978722110</v>
      </c>
      <c r="W243" s="261">
        <v>761500000</v>
      </c>
      <c r="X243" s="261">
        <v>0</v>
      </c>
      <c r="Y243" s="261">
        <v>0</v>
      </c>
      <c r="Z243" s="261">
        <v>2740222110</v>
      </c>
      <c r="AA243" s="261">
        <v>209933467</v>
      </c>
      <c r="AB243" s="261">
        <v>2034873973</v>
      </c>
      <c r="AC243" s="261">
        <v>705348137</v>
      </c>
      <c r="AD243" s="261">
        <v>262080005</v>
      </c>
      <c r="AE243" s="261">
        <v>912725408</v>
      </c>
      <c r="AF243" s="261">
        <v>1122148565</v>
      </c>
      <c r="AG243" s="261">
        <v>83275611</v>
      </c>
      <c r="AH243" s="261">
        <v>2509846284</v>
      </c>
      <c r="AI243" s="261">
        <v>474972311</v>
      </c>
      <c r="AJ243" s="261">
        <v>230375826</v>
      </c>
      <c r="AK243" s="261">
        <v>258200000</v>
      </c>
      <c r="AL243" s="261">
        <v>23675611</v>
      </c>
      <c r="AM243" s="261">
        <v>2785487149</v>
      </c>
      <c r="AN243" s="261">
        <v>2527287149</v>
      </c>
      <c r="AO243" s="261">
        <v>547213176</v>
      </c>
      <c r="AP243" s="261">
        <v>212934961</v>
      </c>
      <c r="AQ243" s="9"/>
      <c r="AS243" s="9"/>
    </row>
    <row r="244" spans="1:45" x14ac:dyDescent="0.25">
      <c r="A244" s="7" t="s">
        <v>428</v>
      </c>
      <c r="B244" s="8" t="s">
        <v>429</v>
      </c>
      <c r="C244" s="9">
        <f>+C245</f>
        <v>420000000</v>
      </c>
      <c r="D244" s="9">
        <f t="shared" ref="D244:R244" si="125">+D245</f>
        <v>0</v>
      </c>
      <c r="E244" s="9">
        <f t="shared" si="125"/>
        <v>0</v>
      </c>
      <c r="F244" s="9">
        <f t="shared" si="125"/>
        <v>0</v>
      </c>
      <c r="G244" s="9">
        <f t="shared" si="125"/>
        <v>420000000</v>
      </c>
      <c r="H244" s="9">
        <f t="shared" si="125"/>
        <v>7788000</v>
      </c>
      <c r="I244" s="9">
        <f t="shared" si="125"/>
        <v>347277831</v>
      </c>
      <c r="J244" s="9">
        <f t="shared" si="101"/>
        <v>72722169</v>
      </c>
      <c r="K244" s="9">
        <f t="shared" si="125"/>
        <v>39174949</v>
      </c>
      <c r="L244" s="9">
        <f t="shared" si="125"/>
        <v>180378267</v>
      </c>
      <c r="M244" s="9">
        <f t="shared" si="125"/>
        <v>166899564</v>
      </c>
      <c r="N244" s="9">
        <f t="shared" si="125"/>
        <v>0</v>
      </c>
      <c r="O244" s="9">
        <f t="shared" si="125"/>
        <v>420000000</v>
      </c>
      <c r="P244" s="9">
        <f t="shared" si="125"/>
        <v>72722169</v>
      </c>
      <c r="Q244" s="9">
        <f t="shared" si="103"/>
        <v>0</v>
      </c>
      <c r="R244" s="9">
        <f t="shared" si="125"/>
        <v>180378267</v>
      </c>
      <c r="S244" s="1"/>
      <c r="T244" s="183" t="s">
        <v>428</v>
      </c>
      <c r="U244" s="259" t="s">
        <v>429</v>
      </c>
      <c r="V244" s="261">
        <v>420000000</v>
      </c>
      <c r="W244" s="261">
        <v>0</v>
      </c>
      <c r="X244" s="261">
        <v>0</v>
      </c>
      <c r="Y244" s="261">
        <v>0</v>
      </c>
      <c r="Z244" s="261">
        <v>420000000</v>
      </c>
      <c r="AA244" s="261">
        <v>7788000</v>
      </c>
      <c r="AB244" s="261">
        <v>347277831</v>
      </c>
      <c r="AC244" s="261">
        <v>72722169</v>
      </c>
      <c r="AD244" s="261">
        <v>39174949</v>
      </c>
      <c r="AE244" s="261">
        <v>180378267</v>
      </c>
      <c r="AF244" s="261">
        <v>166899564</v>
      </c>
      <c r="AG244" s="261">
        <v>0</v>
      </c>
      <c r="AH244" s="261">
        <v>420000000</v>
      </c>
      <c r="AI244" s="261">
        <v>72722169</v>
      </c>
      <c r="AJ244" s="261">
        <v>0</v>
      </c>
      <c r="AK244" s="261">
        <v>0</v>
      </c>
      <c r="AL244" s="261">
        <v>0</v>
      </c>
      <c r="AM244" s="261">
        <v>420000000</v>
      </c>
      <c r="AN244" s="261">
        <v>420000000</v>
      </c>
      <c r="AO244" s="261">
        <v>72722169</v>
      </c>
      <c r="AP244" s="261">
        <v>0</v>
      </c>
      <c r="AQ244" s="9"/>
      <c r="AS244" s="9"/>
    </row>
    <row r="245" spans="1:45" x14ac:dyDescent="0.25">
      <c r="A245" s="2" t="s">
        <v>430</v>
      </c>
      <c r="B245" s="259" t="s">
        <v>431</v>
      </c>
      <c r="C245" s="261">
        <v>420000000</v>
      </c>
      <c r="D245" s="261">
        <v>0</v>
      </c>
      <c r="E245" s="261">
        <v>0</v>
      </c>
      <c r="F245" s="261">
        <v>0</v>
      </c>
      <c r="G245" s="261">
        <f>+C245+D245-E245+F245</f>
        <v>420000000</v>
      </c>
      <c r="H245" s="261">
        <v>7788000</v>
      </c>
      <c r="I245" s="261">
        <v>347277831</v>
      </c>
      <c r="J245" s="261">
        <f t="shared" si="101"/>
        <v>72722169</v>
      </c>
      <c r="K245" s="261">
        <v>39174949</v>
      </c>
      <c r="L245" s="261">
        <v>180378267</v>
      </c>
      <c r="M245" s="261">
        <f t="shared" si="106"/>
        <v>166899564</v>
      </c>
      <c r="N245" s="261">
        <v>0</v>
      </c>
      <c r="O245" s="261">
        <v>420000000</v>
      </c>
      <c r="P245" s="261">
        <f t="shared" si="102"/>
        <v>72722169</v>
      </c>
      <c r="Q245" s="177">
        <f t="shared" si="103"/>
        <v>0</v>
      </c>
      <c r="R245" s="261">
        <f t="shared" si="104"/>
        <v>180378267</v>
      </c>
      <c r="T245" s="183" t="s">
        <v>430</v>
      </c>
      <c r="U245" s="259" t="s">
        <v>431</v>
      </c>
      <c r="V245" s="261">
        <v>420000000</v>
      </c>
      <c r="W245" s="261">
        <v>0</v>
      </c>
      <c r="X245" s="261">
        <v>0</v>
      </c>
      <c r="Y245" s="261">
        <v>0</v>
      </c>
      <c r="Z245" s="261">
        <v>420000000</v>
      </c>
      <c r="AA245" s="261">
        <v>7788000</v>
      </c>
      <c r="AB245" s="261">
        <v>347277831</v>
      </c>
      <c r="AC245" s="261">
        <v>72722169</v>
      </c>
      <c r="AD245" s="261">
        <v>39174949</v>
      </c>
      <c r="AE245" s="261">
        <v>180378267</v>
      </c>
      <c r="AF245" s="261">
        <v>166899564</v>
      </c>
      <c r="AG245" s="261">
        <v>0</v>
      </c>
      <c r="AH245" s="261">
        <v>420000000</v>
      </c>
      <c r="AI245" s="261">
        <v>72722169</v>
      </c>
      <c r="AJ245" s="261">
        <v>0</v>
      </c>
      <c r="AK245" s="261">
        <v>0</v>
      </c>
      <c r="AL245" s="261">
        <v>0</v>
      </c>
      <c r="AM245" s="261">
        <v>420000000</v>
      </c>
      <c r="AN245" s="261">
        <v>420000000</v>
      </c>
      <c r="AO245" s="261">
        <v>72722169</v>
      </c>
      <c r="AP245" s="261">
        <v>0</v>
      </c>
      <c r="AQ245" s="261"/>
      <c r="AS245" s="261"/>
    </row>
    <row r="246" spans="1:45" x14ac:dyDescent="0.25">
      <c r="A246" s="2" t="s">
        <v>432</v>
      </c>
      <c r="B246" s="259" t="s">
        <v>433</v>
      </c>
      <c r="C246" s="261">
        <v>614400000</v>
      </c>
      <c r="D246" s="261">
        <v>0</v>
      </c>
      <c r="E246" s="261">
        <v>0</v>
      </c>
      <c r="F246" s="261">
        <v>0</v>
      </c>
      <c r="G246" s="261">
        <f>+C246+D246-E246+F246</f>
        <v>614400000</v>
      </c>
      <c r="H246" s="261">
        <v>0</v>
      </c>
      <c r="I246" s="261">
        <v>327640887</v>
      </c>
      <c r="J246" s="261">
        <f t="shared" si="101"/>
        <v>286759113</v>
      </c>
      <c r="K246" s="261">
        <v>20900000</v>
      </c>
      <c r="L246" s="261">
        <v>162926863</v>
      </c>
      <c r="M246" s="261">
        <f t="shared" si="106"/>
        <v>164714024</v>
      </c>
      <c r="N246" s="261">
        <v>0</v>
      </c>
      <c r="O246" s="261">
        <v>407786664</v>
      </c>
      <c r="P246" s="261">
        <f t="shared" si="102"/>
        <v>80145777</v>
      </c>
      <c r="Q246" s="177">
        <f t="shared" si="103"/>
        <v>206613336</v>
      </c>
      <c r="R246" s="261">
        <f t="shared" si="104"/>
        <v>162926863</v>
      </c>
      <c r="T246" s="183" t="s">
        <v>432</v>
      </c>
      <c r="U246" s="259" t="s">
        <v>433</v>
      </c>
      <c r="V246" s="261">
        <v>614400000</v>
      </c>
      <c r="W246" s="261">
        <v>0</v>
      </c>
      <c r="X246" s="261">
        <v>0</v>
      </c>
      <c r="Y246" s="261">
        <v>0</v>
      </c>
      <c r="Z246" s="261">
        <v>614400000</v>
      </c>
      <c r="AA246" s="261">
        <v>0</v>
      </c>
      <c r="AB246" s="261">
        <v>327640887</v>
      </c>
      <c r="AC246" s="261">
        <v>286759113</v>
      </c>
      <c r="AD246" s="261">
        <v>20900000</v>
      </c>
      <c r="AE246" s="261">
        <v>162926863</v>
      </c>
      <c r="AF246" s="261">
        <v>164714024</v>
      </c>
      <c r="AG246" s="261">
        <v>0</v>
      </c>
      <c r="AH246" s="261">
        <v>407786664</v>
      </c>
      <c r="AI246" s="261">
        <v>80145777</v>
      </c>
      <c r="AJ246" s="261">
        <v>206613336</v>
      </c>
      <c r="AK246" s="261">
        <v>0</v>
      </c>
      <c r="AL246" s="261">
        <v>0</v>
      </c>
      <c r="AM246" s="261">
        <v>407786664</v>
      </c>
      <c r="AN246" s="261">
        <v>407786664</v>
      </c>
      <c r="AO246" s="261">
        <v>80145777</v>
      </c>
      <c r="AP246" s="261">
        <v>206613336</v>
      </c>
      <c r="AQ246" s="261"/>
      <c r="AS246" s="261"/>
    </row>
    <row r="247" spans="1:45" s="1" customFormat="1" x14ac:dyDescent="0.25">
      <c r="A247" s="2" t="s">
        <v>434</v>
      </c>
      <c r="B247" s="259" t="s">
        <v>435</v>
      </c>
      <c r="C247" s="261">
        <v>69219245</v>
      </c>
      <c r="D247" s="261">
        <v>0</v>
      </c>
      <c r="E247" s="261">
        <v>0</v>
      </c>
      <c r="F247" s="261">
        <v>0</v>
      </c>
      <c r="G247" s="261">
        <f>+C247+D247-E247+F247</f>
        <v>69219245</v>
      </c>
      <c r="H247" s="261">
        <v>3000000</v>
      </c>
      <c r="I247" s="261">
        <v>4000000</v>
      </c>
      <c r="J247" s="261">
        <f t="shared" si="101"/>
        <v>65219245</v>
      </c>
      <c r="K247" s="261">
        <v>0</v>
      </c>
      <c r="L247" s="261">
        <v>0</v>
      </c>
      <c r="M247" s="261">
        <f t="shared" si="106"/>
        <v>4000000</v>
      </c>
      <c r="N247" s="261">
        <v>1000000</v>
      </c>
      <c r="O247" s="261">
        <v>68600000</v>
      </c>
      <c r="P247" s="261">
        <f t="shared" si="102"/>
        <v>64600000</v>
      </c>
      <c r="Q247" s="177">
        <f t="shared" si="103"/>
        <v>619245</v>
      </c>
      <c r="R247" s="261">
        <f t="shared" si="104"/>
        <v>0</v>
      </c>
      <c r="S247" s="257"/>
      <c r="T247" s="183" t="s">
        <v>434</v>
      </c>
      <c r="U247" s="259" t="s">
        <v>435</v>
      </c>
      <c r="V247" s="261">
        <v>69219245</v>
      </c>
      <c r="W247" s="261">
        <v>0</v>
      </c>
      <c r="X247" s="261">
        <v>0</v>
      </c>
      <c r="Y247" s="261">
        <v>0</v>
      </c>
      <c r="Z247" s="261">
        <v>69219245</v>
      </c>
      <c r="AA247" s="261">
        <v>3000000</v>
      </c>
      <c r="AB247" s="261">
        <v>4000000</v>
      </c>
      <c r="AC247" s="261">
        <v>65219245</v>
      </c>
      <c r="AD247" s="261">
        <v>0</v>
      </c>
      <c r="AE247" s="261">
        <v>0</v>
      </c>
      <c r="AF247" s="261">
        <v>4000000</v>
      </c>
      <c r="AG247" s="261">
        <v>1000000</v>
      </c>
      <c r="AH247" s="261">
        <v>68600000</v>
      </c>
      <c r="AI247" s="261">
        <v>64600000</v>
      </c>
      <c r="AJ247" s="261">
        <v>619245</v>
      </c>
      <c r="AK247" s="261">
        <v>0</v>
      </c>
      <c r="AL247" s="261">
        <v>1000000</v>
      </c>
      <c r="AM247" s="261">
        <v>68600000</v>
      </c>
      <c r="AN247" s="261">
        <v>68600000</v>
      </c>
      <c r="AO247" s="261">
        <v>64600000</v>
      </c>
      <c r="AP247" s="261">
        <v>619245</v>
      </c>
      <c r="AQ247" s="261"/>
      <c r="AS247" s="261"/>
    </row>
    <row r="248" spans="1:45" x14ac:dyDescent="0.25">
      <c r="A248" s="2" t="s">
        <v>436</v>
      </c>
      <c r="B248" s="259" t="s">
        <v>437</v>
      </c>
      <c r="C248" s="261">
        <v>875102865</v>
      </c>
      <c r="D248" s="261">
        <f>661500000+100000000</f>
        <v>761500000</v>
      </c>
      <c r="E248" s="261">
        <v>0</v>
      </c>
      <c r="F248" s="261">
        <v>0</v>
      </c>
      <c r="G248" s="261">
        <f>+C248+D248-E248+F248</f>
        <v>1636602865</v>
      </c>
      <c r="H248" s="261">
        <v>199145467</v>
      </c>
      <c r="I248" s="261">
        <v>1355955255</v>
      </c>
      <c r="J248" s="261">
        <f t="shared" si="101"/>
        <v>280647610</v>
      </c>
      <c r="K248" s="261">
        <v>202005056</v>
      </c>
      <c r="L248" s="261">
        <v>569420278</v>
      </c>
      <c r="M248" s="261">
        <f t="shared" si="106"/>
        <v>786534977</v>
      </c>
      <c r="N248" s="261">
        <v>82275611</v>
      </c>
      <c r="O248" s="261">
        <v>1613459620</v>
      </c>
      <c r="P248" s="261">
        <f t="shared" si="102"/>
        <v>257504365</v>
      </c>
      <c r="Q248" s="177">
        <f t="shared" si="103"/>
        <v>23143245</v>
      </c>
      <c r="R248" s="261">
        <f t="shared" si="104"/>
        <v>569420278</v>
      </c>
      <c r="T248" s="183" t="s">
        <v>436</v>
      </c>
      <c r="U248" s="259" t="s">
        <v>437</v>
      </c>
      <c r="V248" s="261">
        <v>875102865</v>
      </c>
      <c r="W248" s="261">
        <v>761500000</v>
      </c>
      <c r="X248" s="261">
        <v>0</v>
      </c>
      <c r="Y248" s="261">
        <v>0</v>
      </c>
      <c r="Z248" s="261">
        <v>1636602865</v>
      </c>
      <c r="AA248" s="261">
        <v>199145467</v>
      </c>
      <c r="AB248" s="261">
        <v>1355955255</v>
      </c>
      <c r="AC248" s="261">
        <v>280647610</v>
      </c>
      <c r="AD248" s="261">
        <v>202005056</v>
      </c>
      <c r="AE248" s="261">
        <v>569420278</v>
      </c>
      <c r="AF248" s="261">
        <v>786534977</v>
      </c>
      <c r="AG248" s="261">
        <v>82275611</v>
      </c>
      <c r="AH248" s="261">
        <v>1613459620</v>
      </c>
      <c r="AI248" s="261">
        <v>257504365</v>
      </c>
      <c r="AJ248" s="261">
        <v>23143245</v>
      </c>
      <c r="AK248" s="261">
        <v>258200000</v>
      </c>
      <c r="AL248" s="261">
        <v>22675611</v>
      </c>
      <c r="AM248" s="261">
        <v>1889100485</v>
      </c>
      <c r="AN248" s="261">
        <v>1630900485</v>
      </c>
      <c r="AO248" s="261">
        <v>329745230</v>
      </c>
      <c r="AP248" s="261">
        <v>5702380</v>
      </c>
      <c r="AQ248" s="261"/>
      <c r="AS248" s="261"/>
    </row>
    <row r="249" spans="1:45" x14ac:dyDescent="0.25">
      <c r="A249" s="7" t="s">
        <v>438</v>
      </c>
      <c r="B249" s="8" t="s">
        <v>439</v>
      </c>
      <c r="C249" s="9">
        <f>+C250+C251</f>
        <v>567000000</v>
      </c>
      <c r="D249" s="9">
        <f t="shared" ref="D249:R249" si="126">+D250+D251</f>
        <v>0</v>
      </c>
      <c r="E249" s="9">
        <f t="shared" si="126"/>
        <v>0</v>
      </c>
      <c r="F249" s="9">
        <f t="shared" si="126"/>
        <v>0</v>
      </c>
      <c r="G249" s="9">
        <f t="shared" si="126"/>
        <v>567000000</v>
      </c>
      <c r="H249" s="9">
        <f t="shared" si="126"/>
        <v>3431509</v>
      </c>
      <c r="I249" s="9">
        <f t="shared" si="126"/>
        <v>243271362</v>
      </c>
      <c r="J249" s="9">
        <f t="shared" si="101"/>
        <v>323728638</v>
      </c>
      <c r="K249" s="9">
        <f t="shared" si="126"/>
        <v>8054661</v>
      </c>
      <c r="L249" s="9">
        <f t="shared" si="126"/>
        <v>162265247</v>
      </c>
      <c r="M249" s="9">
        <f t="shared" si="126"/>
        <v>81006115</v>
      </c>
      <c r="N249" s="9">
        <f t="shared" si="126"/>
        <v>3431509</v>
      </c>
      <c r="O249" s="9">
        <f t="shared" si="126"/>
        <v>269768530</v>
      </c>
      <c r="P249" s="9">
        <f t="shared" si="126"/>
        <v>26497168</v>
      </c>
      <c r="Q249" s="9">
        <f t="shared" si="103"/>
        <v>297231470</v>
      </c>
      <c r="R249" s="9">
        <f t="shared" si="126"/>
        <v>162265247</v>
      </c>
      <c r="S249" s="1"/>
      <c r="T249" s="183" t="s">
        <v>438</v>
      </c>
      <c r="U249" s="259" t="s">
        <v>439</v>
      </c>
      <c r="V249" s="261">
        <v>567000000</v>
      </c>
      <c r="W249" s="261">
        <v>0</v>
      </c>
      <c r="X249" s="261">
        <v>0</v>
      </c>
      <c r="Y249" s="261">
        <v>0</v>
      </c>
      <c r="Z249" s="261">
        <v>567000000</v>
      </c>
      <c r="AA249" s="261">
        <v>3431509</v>
      </c>
      <c r="AB249" s="261">
        <v>243271362</v>
      </c>
      <c r="AC249" s="261">
        <v>323728638</v>
      </c>
      <c r="AD249" s="261">
        <v>8054661</v>
      </c>
      <c r="AE249" s="261">
        <v>162265247</v>
      </c>
      <c r="AF249" s="261">
        <v>81006115</v>
      </c>
      <c r="AG249" s="261">
        <v>3431509</v>
      </c>
      <c r="AH249" s="261">
        <v>269768530</v>
      </c>
      <c r="AI249" s="261">
        <v>26497168</v>
      </c>
      <c r="AJ249" s="261">
        <v>297231470</v>
      </c>
      <c r="AK249" s="261">
        <v>0</v>
      </c>
      <c r="AL249" s="261">
        <v>2977570</v>
      </c>
      <c r="AM249" s="261">
        <v>269314591</v>
      </c>
      <c r="AN249" s="261">
        <v>269314591</v>
      </c>
      <c r="AO249" s="261">
        <v>26497168</v>
      </c>
      <c r="AP249" s="261">
        <v>297685409</v>
      </c>
      <c r="AQ249" s="9"/>
      <c r="AS249" s="9"/>
    </row>
    <row r="250" spans="1:45" s="1" customFormat="1" x14ac:dyDescent="0.25">
      <c r="A250" s="2" t="s">
        <v>440</v>
      </c>
      <c r="B250" s="259" t="s">
        <v>441</v>
      </c>
      <c r="C250" s="261">
        <v>180000000</v>
      </c>
      <c r="D250" s="261">
        <v>0</v>
      </c>
      <c r="E250" s="261">
        <v>0</v>
      </c>
      <c r="F250" s="261">
        <v>0</v>
      </c>
      <c r="G250" s="261">
        <f>+C250+D250-E250+F250</f>
        <v>180000000</v>
      </c>
      <c r="H250" s="261">
        <v>50000</v>
      </c>
      <c r="I250" s="261">
        <v>9173000</v>
      </c>
      <c r="J250" s="261">
        <f t="shared" si="101"/>
        <v>170827000</v>
      </c>
      <c r="K250" s="261">
        <v>0</v>
      </c>
      <c r="L250" s="261">
        <v>0</v>
      </c>
      <c r="M250" s="261">
        <f t="shared" si="106"/>
        <v>9173000</v>
      </c>
      <c r="N250" s="261">
        <v>50000</v>
      </c>
      <c r="O250" s="261">
        <v>9173000</v>
      </c>
      <c r="P250" s="261">
        <f t="shared" si="102"/>
        <v>0</v>
      </c>
      <c r="Q250" s="177">
        <f t="shared" si="103"/>
        <v>170827000</v>
      </c>
      <c r="R250" s="261">
        <f t="shared" si="104"/>
        <v>0</v>
      </c>
      <c r="S250" s="257"/>
      <c r="T250" s="183" t="s">
        <v>440</v>
      </c>
      <c r="U250" s="259" t="s">
        <v>441</v>
      </c>
      <c r="V250" s="261">
        <v>180000000</v>
      </c>
      <c r="W250" s="261">
        <v>0</v>
      </c>
      <c r="X250" s="261">
        <v>0</v>
      </c>
      <c r="Y250" s="261">
        <v>0</v>
      </c>
      <c r="Z250" s="261">
        <v>180000000</v>
      </c>
      <c r="AA250" s="261">
        <v>50000</v>
      </c>
      <c r="AB250" s="261">
        <v>9173000</v>
      </c>
      <c r="AC250" s="261">
        <v>170827000</v>
      </c>
      <c r="AD250" s="261">
        <v>0</v>
      </c>
      <c r="AE250" s="261">
        <v>0</v>
      </c>
      <c r="AF250" s="261">
        <v>9173000</v>
      </c>
      <c r="AG250" s="261">
        <v>50000</v>
      </c>
      <c r="AH250" s="261">
        <v>9173000</v>
      </c>
      <c r="AI250" s="261">
        <v>0</v>
      </c>
      <c r="AJ250" s="261">
        <v>170827000</v>
      </c>
      <c r="AK250" s="261">
        <v>0</v>
      </c>
      <c r="AL250" s="261">
        <v>0</v>
      </c>
      <c r="AM250" s="261">
        <v>9123000</v>
      </c>
      <c r="AN250" s="261">
        <v>9123000</v>
      </c>
      <c r="AO250" s="261">
        <v>0</v>
      </c>
      <c r="AP250" s="261">
        <v>170877000</v>
      </c>
      <c r="AQ250" s="261"/>
      <c r="AS250" s="261"/>
    </row>
    <row r="251" spans="1:45" x14ac:dyDescent="0.25">
      <c r="A251" s="2" t="s">
        <v>442</v>
      </c>
      <c r="B251" s="259" t="s">
        <v>443</v>
      </c>
      <c r="C251" s="261">
        <v>387000000</v>
      </c>
      <c r="D251" s="261">
        <v>0</v>
      </c>
      <c r="E251" s="261">
        <v>0</v>
      </c>
      <c r="F251" s="261">
        <v>0</v>
      </c>
      <c r="G251" s="261">
        <f>+C251+D251-E251+F251</f>
        <v>387000000</v>
      </c>
      <c r="H251" s="261">
        <v>3381509</v>
      </c>
      <c r="I251" s="261">
        <v>234098362</v>
      </c>
      <c r="J251" s="261">
        <f t="shared" si="101"/>
        <v>152901638</v>
      </c>
      <c r="K251" s="261">
        <v>8054661</v>
      </c>
      <c r="L251" s="261">
        <v>162265247</v>
      </c>
      <c r="M251" s="261">
        <f t="shared" si="106"/>
        <v>71833115</v>
      </c>
      <c r="N251" s="261">
        <v>3381509</v>
      </c>
      <c r="O251" s="261">
        <v>260595530</v>
      </c>
      <c r="P251" s="261">
        <f t="shared" si="102"/>
        <v>26497168</v>
      </c>
      <c r="Q251" s="177">
        <f t="shared" si="103"/>
        <v>126404470</v>
      </c>
      <c r="R251" s="261">
        <f t="shared" si="104"/>
        <v>162265247</v>
      </c>
      <c r="T251" s="183" t="s">
        <v>442</v>
      </c>
      <c r="U251" s="259" t="s">
        <v>443</v>
      </c>
      <c r="V251" s="261">
        <v>387000000</v>
      </c>
      <c r="W251" s="261">
        <v>0</v>
      </c>
      <c r="X251" s="261">
        <v>0</v>
      </c>
      <c r="Y251" s="261">
        <v>0</v>
      </c>
      <c r="Z251" s="261">
        <v>387000000</v>
      </c>
      <c r="AA251" s="261">
        <v>3381509</v>
      </c>
      <c r="AB251" s="261">
        <v>234098362</v>
      </c>
      <c r="AC251" s="261">
        <v>152901638</v>
      </c>
      <c r="AD251" s="261">
        <v>8054661</v>
      </c>
      <c r="AE251" s="261">
        <v>162265247</v>
      </c>
      <c r="AF251" s="261">
        <v>71833115</v>
      </c>
      <c r="AG251" s="261">
        <v>3381509</v>
      </c>
      <c r="AH251" s="261">
        <v>260595530</v>
      </c>
      <c r="AI251" s="261">
        <v>26497168</v>
      </c>
      <c r="AJ251" s="261">
        <v>126404470</v>
      </c>
      <c r="AK251" s="261">
        <v>0</v>
      </c>
      <c r="AL251" s="261">
        <v>2977570</v>
      </c>
      <c r="AM251" s="261">
        <v>260191591</v>
      </c>
      <c r="AN251" s="261">
        <v>260191591</v>
      </c>
      <c r="AO251" s="261">
        <v>26497168</v>
      </c>
      <c r="AP251" s="261">
        <v>126808409</v>
      </c>
      <c r="AQ251" s="261"/>
      <c r="AS251" s="261"/>
    </row>
    <row r="252" spans="1:45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 t="shared" ref="D252:R252" si="127">+D253</f>
        <v>0</v>
      </c>
      <c r="E252" s="9">
        <f t="shared" si="127"/>
        <v>0</v>
      </c>
      <c r="F252" s="9">
        <f t="shared" si="127"/>
        <v>0</v>
      </c>
      <c r="G252" s="9">
        <f t="shared" si="127"/>
        <v>706629000</v>
      </c>
      <c r="H252" s="9">
        <f t="shared" si="127"/>
        <v>0</v>
      </c>
      <c r="I252" s="9">
        <f t="shared" si="127"/>
        <v>646893416</v>
      </c>
      <c r="J252" s="9">
        <f t="shared" si="101"/>
        <v>59735584</v>
      </c>
      <c r="K252" s="9">
        <f t="shared" si="127"/>
        <v>0</v>
      </c>
      <c r="L252" s="9">
        <f t="shared" si="127"/>
        <v>6915966</v>
      </c>
      <c r="M252" s="9">
        <f t="shared" si="127"/>
        <v>639977450</v>
      </c>
      <c r="N252" s="9">
        <f t="shared" si="127"/>
        <v>0</v>
      </c>
      <c r="O252" s="9">
        <f t="shared" si="127"/>
        <v>706629000</v>
      </c>
      <c r="P252" s="9">
        <f t="shared" si="127"/>
        <v>59735584</v>
      </c>
      <c r="Q252" s="9">
        <f t="shared" si="103"/>
        <v>0</v>
      </c>
      <c r="R252" s="9">
        <f t="shared" si="127"/>
        <v>6915966</v>
      </c>
      <c r="T252" s="183" t="s">
        <v>444</v>
      </c>
      <c r="U252" s="259" t="s">
        <v>445</v>
      </c>
      <c r="V252" s="261">
        <v>706629000</v>
      </c>
      <c r="W252" s="261">
        <v>0</v>
      </c>
      <c r="X252" s="261">
        <v>0</v>
      </c>
      <c r="Y252" s="261">
        <v>0</v>
      </c>
      <c r="Z252" s="261">
        <v>706629000</v>
      </c>
      <c r="AA252" s="261">
        <v>0</v>
      </c>
      <c r="AB252" s="261">
        <v>646893416</v>
      </c>
      <c r="AC252" s="261">
        <v>59735584</v>
      </c>
      <c r="AD252" s="261">
        <v>0</v>
      </c>
      <c r="AE252" s="261">
        <v>6915966</v>
      </c>
      <c r="AF252" s="261">
        <v>639977450</v>
      </c>
      <c r="AG252" s="261">
        <v>0</v>
      </c>
      <c r="AH252" s="261">
        <v>706629000</v>
      </c>
      <c r="AI252" s="261">
        <v>59735584</v>
      </c>
      <c r="AJ252" s="261">
        <v>0</v>
      </c>
      <c r="AK252" s="261">
        <v>0</v>
      </c>
      <c r="AL252" s="261">
        <v>0</v>
      </c>
      <c r="AM252" s="261">
        <v>706629000</v>
      </c>
      <c r="AN252" s="261">
        <v>706629000</v>
      </c>
      <c r="AO252" s="261">
        <v>59735584</v>
      </c>
      <c r="AP252" s="261">
        <v>0</v>
      </c>
      <c r="AQ252" s="9"/>
      <c r="AS252" s="9"/>
    </row>
    <row r="253" spans="1:45" x14ac:dyDescent="0.25">
      <c r="A253" s="2" t="s">
        <v>446</v>
      </c>
      <c r="B253" s="259" t="s">
        <v>447</v>
      </c>
      <c r="C253" s="261">
        <v>706629000</v>
      </c>
      <c r="D253" s="261">
        <v>0</v>
      </c>
      <c r="E253" s="261">
        <v>0</v>
      </c>
      <c r="F253" s="261">
        <v>0</v>
      </c>
      <c r="G253" s="261">
        <f>+C253+D253-E253+F253</f>
        <v>706629000</v>
      </c>
      <c r="H253" s="261">
        <v>0</v>
      </c>
      <c r="I253" s="261">
        <v>646893416</v>
      </c>
      <c r="J253" s="261">
        <f t="shared" si="101"/>
        <v>59735584</v>
      </c>
      <c r="K253" s="261">
        <v>0</v>
      </c>
      <c r="L253" s="261">
        <v>6915966</v>
      </c>
      <c r="M253" s="261">
        <f t="shared" si="106"/>
        <v>639977450</v>
      </c>
      <c r="N253" s="261">
        <v>0</v>
      </c>
      <c r="O253" s="261">
        <v>706629000</v>
      </c>
      <c r="P253" s="261">
        <f t="shared" si="102"/>
        <v>59735584</v>
      </c>
      <c r="Q253" s="177">
        <f t="shared" si="103"/>
        <v>0</v>
      </c>
      <c r="R253" s="261">
        <f t="shared" si="104"/>
        <v>6915966</v>
      </c>
      <c r="T253" s="183" t="s">
        <v>446</v>
      </c>
      <c r="U253" s="259" t="s">
        <v>447</v>
      </c>
      <c r="V253" s="261">
        <v>706629000</v>
      </c>
      <c r="W253" s="261">
        <v>0</v>
      </c>
      <c r="X253" s="261">
        <v>0</v>
      </c>
      <c r="Y253" s="261">
        <v>0</v>
      </c>
      <c r="Z253" s="261">
        <v>706629000</v>
      </c>
      <c r="AA253" s="261">
        <v>0</v>
      </c>
      <c r="AB253" s="261">
        <v>646893416</v>
      </c>
      <c r="AC253" s="261">
        <v>59735584</v>
      </c>
      <c r="AD253" s="261">
        <v>0</v>
      </c>
      <c r="AE253" s="261">
        <v>6915966</v>
      </c>
      <c r="AF253" s="261">
        <v>639977450</v>
      </c>
      <c r="AG253" s="261">
        <v>0</v>
      </c>
      <c r="AH253" s="261">
        <v>706629000</v>
      </c>
      <c r="AI253" s="261">
        <v>59735584</v>
      </c>
      <c r="AJ253" s="261">
        <v>0</v>
      </c>
      <c r="AK253" s="261">
        <v>0</v>
      </c>
      <c r="AL253" s="261">
        <v>0</v>
      </c>
      <c r="AM253" s="261">
        <v>706629000</v>
      </c>
      <c r="AN253" s="261">
        <v>706629000</v>
      </c>
      <c r="AO253" s="261">
        <v>59735584</v>
      </c>
      <c r="AP253" s="261">
        <v>0</v>
      </c>
      <c r="AQ253" s="261"/>
      <c r="AS253" s="261"/>
    </row>
    <row r="254" spans="1:45" x14ac:dyDescent="0.25">
      <c r="A254" s="7" t="s">
        <v>448</v>
      </c>
      <c r="B254" s="8" t="s">
        <v>449</v>
      </c>
      <c r="C254" s="9">
        <f>+C255+C256</f>
        <v>24526430</v>
      </c>
      <c r="D254" s="9">
        <f t="shared" ref="D254:R254" si="128">+D255+D256</f>
        <v>0</v>
      </c>
      <c r="E254" s="9">
        <f t="shared" si="128"/>
        <v>0</v>
      </c>
      <c r="F254" s="9">
        <f t="shared" si="128"/>
        <v>0</v>
      </c>
      <c r="G254" s="9">
        <f t="shared" si="128"/>
        <v>24526430</v>
      </c>
      <c r="H254" s="9">
        <f t="shared" si="128"/>
        <v>0</v>
      </c>
      <c r="I254" s="9">
        <f t="shared" si="128"/>
        <v>500000</v>
      </c>
      <c r="J254" s="9">
        <f t="shared" si="101"/>
        <v>24026430</v>
      </c>
      <c r="K254" s="9">
        <f t="shared" si="128"/>
        <v>0</v>
      </c>
      <c r="L254" s="9">
        <f t="shared" si="128"/>
        <v>0</v>
      </c>
      <c r="M254" s="9">
        <f t="shared" si="128"/>
        <v>500000</v>
      </c>
      <c r="N254" s="9">
        <f t="shared" si="128"/>
        <v>0</v>
      </c>
      <c r="O254" s="9">
        <f t="shared" si="128"/>
        <v>21500000</v>
      </c>
      <c r="P254" s="9">
        <f t="shared" si="128"/>
        <v>21000000</v>
      </c>
      <c r="Q254" s="9">
        <f t="shared" si="103"/>
        <v>3026430</v>
      </c>
      <c r="R254" s="9">
        <f t="shared" si="128"/>
        <v>0</v>
      </c>
      <c r="S254" s="1"/>
      <c r="T254" s="183" t="s">
        <v>448</v>
      </c>
      <c r="U254" s="259" t="s">
        <v>449</v>
      </c>
      <c r="V254" s="261">
        <v>24526430</v>
      </c>
      <c r="W254" s="261">
        <v>0</v>
      </c>
      <c r="X254" s="261">
        <v>0</v>
      </c>
      <c r="Y254" s="261">
        <v>0</v>
      </c>
      <c r="Z254" s="261">
        <v>24526430</v>
      </c>
      <c r="AA254" s="261">
        <v>0</v>
      </c>
      <c r="AB254" s="261">
        <v>500000</v>
      </c>
      <c r="AC254" s="261">
        <v>24026430</v>
      </c>
      <c r="AD254" s="261">
        <v>0</v>
      </c>
      <c r="AE254" s="261">
        <v>0</v>
      </c>
      <c r="AF254" s="261">
        <v>500000</v>
      </c>
      <c r="AG254" s="261">
        <v>0</v>
      </c>
      <c r="AH254" s="261">
        <v>21500000</v>
      </c>
      <c r="AI254" s="261">
        <v>21000000</v>
      </c>
      <c r="AJ254" s="261">
        <v>3026430</v>
      </c>
      <c r="AK254" s="261">
        <v>0</v>
      </c>
      <c r="AL254" s="261">
        <v>0</v>
      </c>
      <c r="AM254" s="261">
        <v>21500000</v>
      </c>
      <c r="AN254" s="261">
        <v>21500000</v>
      </c>
      <c r="AO254" s="261">
        <v>21000000</v>
      </c>
      <c r="AP254" s="261">
        <v>3026430</v>
      </c>
      <c r="AQ254" s="9"/>
      <c r="AS254" s="9"/>
    </row>
    <row r="255" spans="1:45" s="1" customFormat="1" x14ac:dyDescent="0.25">
      <c r="A255" s="2" t="s">
        <v>450</v>
      </c>
      <c r="B255" s="259" t="s">
        <v>451</v>
      </c>
      <c r="C255" s="261">
        <v>21000000</v>
      </c>
      <c r="D255" s="261">
        <v>0</v>
      </c>
      <c r="E255" s="261">
        <v>0</v>
      </c>
      <c r="F255" s="261">
        <v>0</v>
      </c>
      <c r="G255" s="261">
        <f>+C255+D255-E255+F255</f>
        <v>21000000</v>
      </c>
      <c r="H255" s="261">
        <v>0</v>
      </c>
      <c r="I255" s="261">
        <v>0</v>
      </c>
      <c r="J255" s="261">
        <f t="shared" si="101"/>
        <v>21000000</v>
      </c>
      <c r="K255" s="261">
        <v>0</v>
      </c>
      <c r="L255" s="261">
        <v>0</v>
      </c>
      <c r="M255" s="261">
        <f t="shared" si="106"/>
        <v>0</v>
      </c>
      <c r="N255" s="261">
        <v>0</v>
      </c>
      <c r="O255" s="261">
        <v>21000000</v>
      </c>
      <c r="P255" s="261">
        <f t="shared" si="102"/>
        <v>21000000</v>
      </c>
      <c r="Q255" s="177">
        <f t="shared" si="103"/>
        <v>0</v>
      </c>
      <c r="R255" s="261">
        <f t="shared" si="104"/>
        <v>0</v>
      </c>
      <c r="S255" s="257"/>
      <c r="T255" s="183" t="s">
        <v>450</v>
      </c>
      <c r="U255" s="259" t="s">
        <v>451</v>
      </c>
      <c r="V255" s="261">
        <v>21000000</v>
      </c>
      <c r="W255" s="261">
        <v>0</v>
      </c>
      <c r="X255" s="261">
        <v>0</v>
      </c>
      <c r="Y255" s="261">
        <v>0</v>
      </c>
      <c r="Z255" s="261">
        <v>21000000</v>
      </c>
      <c r="AA255" s="261">
        <v>0</v>
      </c>
      <c r="AB255" s="261">
        <v>0</v>
      </c>
      <c r="AC255" s="261">
        <v>21000000</v>
      </c>
      <c r="AD255" s="261">
        <v>0</v>
      </c>
      <c r="AE255" s="261">
        <v>0</v>
      </c>
      <c r="AF255" s="261">
        <v>0</v>
      </c>
      <c r="AG255" s="261">
        <v>0</v>
      </c>
      <c r="AH255" s="261">
        <v>21000000</v>
      </c>
      <c r="AI255" s="261">
        <v>21000000</v>
      </c>
      <c r="AJ255" s="261">
        <v>0</v>
      </c>
      <c r="AK255" s="261">
        <v>0</v>
      </c>
      <c r="AL255" s="261">
        <v>0</v>
      </c>
      <c r="AM255" s="261">
        <v>21000000</v>
      </c>
      <c r="AN255" s="261">
        <v>21000000</v>
      </c>
      <c r="AO255" s="261">
        <v>21000000</v>
      </c>
      <c r="AP255" s="261">
        <v>0</v>
      </c>
      <c r="AQ255" s="261"/>
      <c r="AS255" s="261"/>
    </row>
    <row r="256" spans="1:45" s="1" customFormat="1" x14ac:dyDescent="0.25">
      <c r="A256" s="2" t="s">
        <v>452</v>
      </c>
      <c r="B256" s="259" t="s">
        <v>453</v>
      </c>
      <c r="C256" s="261">
        <v>3526430</v>
      </c>
      <c r="D256" s="261">
        <v>0</v>
      </c>
      <c r="E256" s="261">
        <v>0</v>
      </c>
      <c r="F256" s="261">
        <v>0</v>
      </c>
      <c r="G256" s="261">
        <f>+C256+D256-E256+F256</f>
        <v>3526430</v>
      </c>
      <c r="H256" s="261">
        <v>0</v>
      </c>
      <c r="I256" s="261">
        <v>500000</v>
      </c>
      <c r="J256" s="261">
        <f t="shared" si="101"/>
        <v>3026430</v>
      </c>
      <c r="K256" s="261">
        <v>0</v>
      </c>
      <c r="L256" s="261">
        <v>0</v>
      </c>
      <c r="M256" s="261">
        <f t="shared" si="106"/>
        <v>500000</v>
      </c>
      <c r="N256" s="261">
        <v>0</v>
      </c>
      <c r="O256" s="261">
        <v>500000</v>
      </c>
      <c r="P256" s="261">
        <f t="shared" si="102"/>
        <v>0</v>
      </c>
      <c r="Q256" s="177">
        <f t="shared" si="103"/>
        <v>3026430</v>
      </c>
      <c r="R256" s="261">
        <f t="shared" si="104"/>
        <v>0</v>
      </c>
      <c r="S256" s="257"/>
      <c r="T256" s="183" t="s">
        <v>452</v>
      </c>
      <c r="U256" s="259" t="s">
        <v>453</v>
      </c>
      <c r="V256" s="261">
        <v>3526430</v>
      </c>
      <c r="W256" s="261">
        <v>0</v>
      </c>
      <c r="X256" s="261">
        <v>0</v>
      </c>
      <c r="Y256" s="261">
        <v>0</v>
      </c>
      <c r="Z256" s="261">
        <v>3526430</v>
      </c>
      <c r="AA256" s="261">
        <v>0</v>
      </c>
      <c r="AB256" s="261">
        <v>500000</v>
      </c>
      <c r="AC256" s="261">
        <v>3026430</v>
      </c>
      <c r="AD256" s="261">
        <v>0</v>
      </c>
      <c r="AE256" s="261">
        <v>0</v>
      </c>
      <c r="AF256" s="261">
        <v>500000</v>
      </c>
      <c r="AG256" s="261">
        <v>0</v>
      </c>
      <c r="AH256" s="261">
        <v>500000</v>
      </c>
      <c r="AI256" s="261">
        <v>0</v>
      </c>
      <c r="AJ256" s="261">
        <v>3026430</v>
      </c>
      <c r="AK256" s="261">
        <v>0</v>
      </c>
      <c r="AL256" s="261">
        <v>0</v>
      </c>
      <c r="AM256" s="261">
        <v>500000</v>
      </c>
      <c r="AN256" s="261">
        <v>500000</v>
      </c>
      <c r="AO256" s="261">
        <v>0</v>
      </c>
      <c r="AP256" s="261">
        <v>3026430</v>
      </c>
      <c r="AQ256" s="261"/>
      <c r="AS256" s="261"/>
    </row>
    <row r="257" spans="1:45" x14ac:dyDescent="0.25">
      <c r="A257" s="7" t="s">
        <v>454</v>
      </c>
      <c r="B257" s="8" t="s">
        <v>455</v>
      </c>
      <c r="C257" s="9">
        <f>+C258+C264+C266</f>
        <v>264949395</v>
      </c>
      <c r="D257" s="9">
        <f t="shared" ref="D257:R257" si="129">+D258+D264+D266</f>
        <v>90000000</v>
      </c>
      <c r="E257" s="9">
        <f t="shared" si="129"/>
        <v>0</v>
      </c>
      <c r="F257" s="9">
        <f t="shared" si="129"/>
        <v>0</v>
      </c>
      <c r="G257" s="9">
        <f t="shared" si="129"/>
        <v>354949395</v>
      </c>
      <c r="H257" s="9">
        <f t="shared" si="129"/>
        <v>1900000</v>
      </c>
      <c r="I257" s="9">
        <f t="shared" si="129"/>
        <v>99019850</v>
      </c>
      <c r="J257" s="9">
        <f t="shared" si="101"/>
        <v>255929545</v>
      </c>
      <c r="K257" s="9">
        <f t="shared" si="129"/>
        <v>900000</v>
      </c>
      <c r="L257" s="9">
        <f t="shared" si="129"/>
        <v>72781523</v>
      </c>
      <c r="M257" s="9">
        <f t="shared" si="129"/>
        <v>26238327</v>
      </c>
      <c r="N257" s="9">
        <f t="shared" si="129"/>
        <v>9200000</v>
      </c>
      <c r="O257" s="9">
        <f t="shared" si="129"/>
        <v>176491750</v>
      </c>
      <c r="P257" s="9">
        <f t="shared" si="129"/>
        <v>77471900</v>
      </c>
      <c r="Q257" s="9">
        <f t="shared" si="103"/>
        <v>178457645</v>
      </c>
      <c r="R257" s="9">
        <f t="shared" si="129"/>
        <v>72781523</v>
      </c>
      <c r="S257" s="1"/>
      <c r="T257" s="183" t="s">
        <v>454</v>
      </c>
      <c r="U257" s="259" t="s">
        <v>455</v>
      </c>
      <c r="V257" s="261">
        <v>264949395</v>
      </c>
      <c r="W257" s="261">
        <v>90000000</v>
      </c>
      <c r="X257" s="261">
        <v>0</v>
      </c>
      <c r="Y257" s="261">
        <v>0</v>
      </c>
      <c r="Z257" s="261">
        <v>354949395</v>
      </c>
      <c r="AA257" s="261">
        <v>1900000</v>
      </c>
      <c r="AB257" s="261">
        <v>99019850</v>
      </c>
      <c r="AC257" s="261">
        <v>255929545</v>
      </c>
      <c r="AD257" s="261">
        <v>900000</v>
      </c>
      <c r="AE257" s="261">
        <v>72781523</v>
      </c>
      <c r="AF257" s="261">
        <v>29238327</v>
      </c>
      <c r="AG257" s="261">
        <v>9200000</v>
      </c>
      <c r="AH257" s="261">
        <v>176491750</v>
      </c>
      <c r="AI257" s="261">
        <v>77471900</v>
      </c>
      <c r="AJ257" s="261">
        <v>178457645</v>
      </c>
      <c r="AK257" s="261">
        <v>1500000</v>
      </c>
      <c r="AL257" s="261">
        <v>7300000</v>
      </c>
      <c r="AM257" s="261">
        <v>176091750</v>
      </c>
      <c r="AN257" s="261">
        <v>174591750</v>
      </c>
      <c r="AO257" s="261">
        <v>77471900</v>
      </c>
      <c r="AP257" s="261">
        <v>180357645</v>
      </c>
      <c r="AQ257" s="9"/>
      <c r="AS257" s="9"/>
    </row>
    <row r="258" spans="1:45" x14ac:dyDescent="0.25">
      <c r="A258" s="7" t="s">
        <v>456</v>
      </c>
      <c r="B258" s="8" t="s">
        <v>457</v>
      </c>
      <c r="C258" s="9">
        <f>SUM(C259:C263)</f>
        <v>192087626</v>
      </c>
      <c r="D258" s="9">
        <f t="shared" ref="D258:R258" si="130">SUM(D259:D263)</f>
        <v>90000000</v>
      </c>
      <c r="E258" s="9">
        <f t="shared" si="130"/>
        <v>0</v>
      </c>
      <c r="F258" s="9">
        <f t="shared" si="130"/>
        <v>0</v>
      </c>
      <c r="G258" s="9">
        <f t="shared" si="130"/>
        <v>282087626</v>
      </c>
      <c r="H258" s="9">
        <f t="shared" si="130"/>
        <v>1900000</v>
      </c>
      <c r="I258" s="9">
        <f t="shared" si="130"/>
        <v>82606476</v>
      </c>
      <c r="J258" s="9">
        <f t="shared" si="101"/>
        <v>199481150</v>
      </c>
      <c r="K258" s="9">
        <f t="shared" si="130"/>
        <v>900000</v>
      </c>
      <c r="L258" s="9">
        <f t="shared" si="130"/>
        <v>61668149</v>
      </c>
      <c r="M258" s="9">
        <f t="shared" si="130"/>
        <v>20938327</v>
      </c>
      <c r="N258" s="9">
        <f t="shared" si="130"/>
        <v>8400000</v>
      </c>
      <c r="O258" s="9">
        <f t="shared" si="130"/>
        <v>159278376</v>
      </c>
      <c r="P258" s="9">
        <f t="shared" si="130"/>
        <v>76671900</v>
      </c>
      <c r="Q258" s="9">
        <f t="shared" si="103"/>
        <v>122809250</v>
      </c>
      <c r="R258" s="9">
        <f t="shared" si="130"/>
        <v>61668149</v>
      </c>
      <c r="S258" s="1"/>
      <c r="T258" s="183" t="s">
        <v>456</v>
      </c>
      <c r="U258" s="259" t="s">
        <v>457</v>
      </c>
      <c r="V258" s="261">
        <v>192087626</v>
      </c>
      <c r="W258" s="261">
        <v>90000000</v>
      </c>
      <c r="X258" s="261">
        <v>0</v>
      </c>
      <c r="Y258" s="261">
        <v>0</v>
      </c>
      <c r="Z258" s="261">
        <v>282087626</v>
      </c>
      <c r="AA258" s="261">
        <v>1900000</v>
      </c>
      <c r="AB258" s="261">
        <v>82606476</v>
      </c>
      <c r="AC258" s="261">
        <v>199481150</v>
      </c>
      <c r="AD258" s="261">
        <v>900000</v>
      </c>
      <c r="AE258" s="261">
        <v>61668149</v>
      </c>
      <c r="AF258" s="261">
        <v>23938327</v>
      </c>
      <c r="AG258" s="261">
        <v>8400000</v>
      </c>
      <c r="AH258" s="261">
        <v>159278376</v>
      </c>
      <c r="AI258" s="261">
        <v>76671900</v>
      </c>
      <c r="AJ258" s="261">
        <v>122809250</v>
      </c>
      <c r="AK258" s="261">
        <v>1500000</v>
      </c>
      <c r="AL258" s="261">
        <v>6500000</v>
      </c>
      <c r="AM258" s="261">
        <v>158878376</v>
      </c>
      <c r="AN258" s="261">
        <v>157378376</v>
      </c>
      <c r="AO258" s="261">
        <v>76671900</v>
      </c>
      <c r="AP258" s="261">
        <v>124709250</v>
      </c>
      <c r="AQ258" s="9"/>
      <c r="AS258" s="9"/>
    </row>
    <row r="259" spans="1:45" x14ac:dyDescent="0.25">
      <c r="A259" s="2" t="s">
        <v>458</v>
      </c>
      <c r="B259" s="259" t="s">
        <v>459</v>
      </c>
      <c r="C259" s="261">
        <v>35000000</v>
      </c>
      <c r="D259" s="261">
        <v>0</v>
      </c>
      <c r="E259" s="261">
        <v>0</v>
      </c>
      <c r="F259" s="261">
        <v>0</v>
      </c>
      <c r="G259" s="261">
        <f>+C259+D259-E259+F259</f>
        <v>35000000</v>
      </c>
      <c r="H259" s="261">
        <v>200000</v>
      </c>
      <c r="I259" s="261">
        <v>4000000</v>
      </c>
      <c r="J259" s="261">
        <f t="shared" si="101"/>
        <v>31000000</v>
      </c>
      <c r="K259" s="261">
        <v>0</v>
      </c>
      <c r="L259" s="261">
        <v>800000</v>
      </c>
      <c r="M259" s="261">
        <f t="shared" si="106"/>
        <v>3200000</v>
      </c>
      <c r="N259" s="261">
        <v>200000</v>
      </c>
      <c r="O259" s="261">
        <v>4000000</v>
      </c>
      <c r="P259" s="261">
        <f t="shared" si="102"/>
        <v>0</v>
      </c>
      <c r="Q259" s="177">
        <f t="shared" si="103"/>
        <v>31000000</v>
      </c>
      <c r="R259" s="261">
        <f t="shared" si="104"/>
        <v>800000</v>
      </c>
      <c r="T259" s="183" t="s">
        <v>458</v>
      </c>
      <c r="U259" s="259" t="s">
        <v>459</v>
      </c>
      <c r="V259" s="261">
        <v>35000000</v>
      </c>
      <c r="W259" s="261">
        <v>0</v>
      </c>
      <c r="X259" s="261">
        <v>0</v>
      </c>
      <c r="Y259" s="261">
        <v>0</v>
      </c>
      <c r="Z259" s="261">
        <v>35000000</v>
      </c>
      <c r="AA259" s="261">
        <v>200000</v>
      </c>
      <c r="AB259" s="261">
        <v>4000000</v>
      </c>
      <c r="AC259" s="261">
        <v>31000000</v>
      </c>
      <c r="AD259" s="261">
        <v>0</v>
      </c>
      <c r="AE259" s="261">
        <v>800000</v>
      </c>
      <c r="AF259" s="261">
        <v>3200000</v>
      </c>
      <c r="AG259" s="261">
        <v>200000</v>
      </c>
      <c r="AH259" s="261">
        <v>4000000</v>
      </c>
      <c r="AI259" s="261">
        <v>0</v>
      </c>
      <c r="AJ259" s="261">
        <v>31000000</v>
      </c>
      <c r="AK259" s="261">
        <v>0</v>
      </c>
      <c r="AL259" s="261">
        <v>0</v>
      </c>
      <c r="AM259" s="261">
        <v>3800000</v>
      </c>
      <c r="AN259" s="261">
        <v>3800000</v>
      </c>
      <c r="AO259" s="261">
        <v>0</v>
      </c>
      <c r="AP259" s="261">
        <v>31200000</v>
      </c>
      <c r="AQ259" s="261"/>
      <c r="AS259" s="261"/>
    </row>
    <row r="260" spans="1:45" x14ac:dyDescent="0.25">
      <c r="A260" s="2" t="s">
        <v>460</v>
      </c>
      <c r="B260" s="259" t="s">
        <v>461</v>
      </c>
      <c r="C260" s="261">
        <v>35200000</v>
      </c>
      <c r="D260" s="261">
        <v>0</v>
      </c>
      <c r="E260" s="261">
        <v>0</v>
      </c>
      <c r="F260" s="261">
        <v>0</v>
      </c>
      <c r="G260" s="261">
        <f>+C260+D260-E260+F260</f>
        <v>35200000</v>
      </c>
      <c r="H260" s="261">
        <v>600000</v>
      </c>
      <c r="I260" s="261">
        <v>2600000</v>
      </c>
      <c r="J260" s="261">
        <f t="shared" si="101"/>
        <v>32600000</v>
      </c>
      <c r="K260" s="261">
        <v>0</v>
      </c>
      <c r="L260" s="261">
        <v>0</v>
      </c>
      <c r="M260" s="261">
        <f t="shared" si="106"/>
        <v>2600000</v>
      </c>
      <c r="N260" s="261">
        <v>1600000</v>
      </c>
      <c r="O260" s="261">
        <v>3600000</v>
      </c>
      <c r="P260" s="261">
        <f t="shared" si="102"/>
        <v>1000000</v>
      </c>
      <c r="Q260" s="177">
        <f t="shared" si="103"/>
        <v>31600000</v>
      </c>
      <c r="R260" s="261">
        <f t="shared" si="104"/>
        <v>0</v>
      </c>
      <c r="T260" s="183" t="s">
        <v>460</v>
      </c>
      <c r="U260" s="259" t="s">
        <v>461</v>
      </c>
      <c r="V260" s="261">
        <v>35200000</v>
      </c>
      <c r="W260" s="261">
        <v>0</v>
      </c>
      <c r="X260" s="261">
        <v>0</v>
      </c>
      <c r="Y260" s="261">
        <v>0</v>
      </c>
      <c r="Z260" s="261">
        <v>35200000</v>
      </c>
      <c r="AA260" s="261">
        <v>600000</v>
      </c>
      <c r="AB260" s="261">
        <v>2600000</v>
      </c>
      <c r="AC260" s="261">
        <v>32600000</v>
      </c>
      <c r="AD260" s="261">
        <v>0</v>
      </c>
      <c r="AE260" s="261">
        <v>0</v>
      </c>
      <c r="AF260" s="261">
        <v>2600000</v>
      </c>
      <c r="AG260" s="261">
        <v>1600000</v>
      </c>
      <c r="AH260" s="261">
        <v>3600000</v>
      </c>
      <c r="AI260" s="261">
        <v>1000000</v>
      </c>
      <c r="AJ260" s="261">
        <v>31600000</v>
      </c>
      <c r="AK260" s="261">
        <v>0</v>
      </c>
      <c r="AL260" s="261">
        <v>1000000</v>
      </c>
      <c r="AM260" s="261">
        <v>3000000</v>
      </c>
      <c r="AN260" s="261">
        <v>3000000</v>
      </c>
      <c r="AO260" s="261">
        <v>1000000</v>
      </c>
      <c r="AP260" s="261">
        <v>32200000</v>
      </c>
      <c r="AQ260" s="261"/>
      <c r="AS260" s="261"/>
    </row>
    <row r="261" spans="1:45" x14ac:dyDescent="0.25">
      <c r="A261" s="2" t="s">
        <v>462</v>
      </c>
      <c r="B261" s="259" t="s">
        <v>463</v>
      </c>
      <c r="C261" s="261">
        <v>45000000</v>
      </c>
      <c r="D261" s="261">
        <v>0</v>
      </c>
      <c r="E261" s="261">
        <v>0</v>
      </c>
      <c r="F261" s="261">
        <v>0</v>
      </c>
      <c r="G261" s="261">
        <f>+C261+D261-E261+F261</f>
        <v>45000000</v>
      </c>
      <c r="H261" s="261">
        <v>200000</v>
      </c>
      <c r="I261" s="261">
        <v>2900000</v>
      </c>
      <c r="J261" s="261">
        <f t="shared" si="101"/>
        <v>42100000</v>
      </c>
      <c r="K261" s="261">
        <v>0</v>
      </c>
      <c r="L261" s="261">
        <v>200000</v>
      </c>
      <c r="M261" s="261">
        <f t="shared" si="106"/>
        <v>2700000</v>
      </c>
      <c r="N261" s="261">
        <v>1700000</v>
      </c>
      <c r="O261" s="261">
        <v>4400000</v>
      </c>
      <c r="P261" s="261">
        <f t="shared" si="102"/>
        <v>1500000</v>
      </c>
      <c r="Q261" s="177">
        <f t="shared" si="103"/>
        <v>40600000</v>
      </c>
      <c r="R261" s="261">
        <f t="shared" si="104"/>
        <v>200000</v>
      </c>
      <c r="T261" s="183" t="s">
        <v>462</v>
      </c>
      <c r="U261" s="259" t="s">
        <v>463</v>
      </c>
      <c r="V261" s="261">
        <v>45000000</v>
      </c>
      <c r="W261" s="261">
        <v>0</v>
      </c>
      <c r="X261" s="261">
        <v>0</v>
      </c>
      <c r="Y261" s="261">
        <v>0</v>
      </c>
      <c r="Z261" s="261">
        <v>45000000</v>
      </c>
      <c r="AA261" s="261">
        <v>200000</v>
      </c>
      <c r="AB261" s="261">
        <v>2900000</v>
      </c>
      <c r="AC261" s="261">
        <v>42100000</v>
      </c>
      <c r="AD261" s="261">
        <v>0</v>
      </c>
      <c r="AE261" s="261">
        <v>200000</v>
      </c>
      <c r="AF261" s="261">
        <v>2700000</v>
      </c>
      <c r="AG261" s="261">
        <v>1700000</v>
      </c>
      <c r="AH261" s="261">
        <v>4400000</v>
      </c>
      <c r="AI261" s="261">
        <v>1500000</v>
      </c>
      <c r="AJ261" s="261">
        <v>40600000</v>
      </c>
      <c r="AK261" s="261">
        <v>0</v>
      </c>
      <c r="AL261" s="261">
        <v>1500000</v>
      </c>
      <c r="AM261" s="261">
        <v>4200000</v>
      </c>
      <c r="AN261" s="261">
        <v>4200000</v>
      </c>
      <c r="AO261" s="261">
        <v>1500000</v>
      </c>
      <c r="AP261" s="261">
        <v>40800000</v>
      </c>
      <c r="AQ261" s="261"/>
      <c r="AS261" s="261"/>
    </row>
    <row r="262" spans="1:45" s="1" customFormat="1" x14ac:dyDescent="0.25">
      <c r="A262" s="2" t="s">
        <v>464</v>
      </c>
      <c r="B262" s="259" t="s">
        <v>465</v>
      </c>
      <c r="C262" s="261">
        <v>41500000</v>
      </c>
      <c r="D262" s="261">
        <f>40000000+50000000</f>
        <v>90000000</v>
      </c>
      <c r="E262" s="261">
        <v>0</v>
      </c>
      <c r="F262" s="261">
        <v>0</v>
      </c>
      <c r="G262" s="261">
        <f>+C262+D262-E262+F262</f>
        <v>131500000</v>
      </c>
      <c r="H262" s="261">
        <v>410000</v>
      </c>
      <c r="I262" s="261">
        <v>57579950</v>
      </c>
      <c r="J262" s="261">
        <f t="shared" si="101"/>
        <v>73920050</v>
      </c>
      <c r="K262" s="261">
        <v>410000</v>
      </c>
      <c r="L262" s="261">
        <v>44141623</v>
      </c>
      <c r="M262" s="261">
        <f t="shared" si="106"/>
        <v>13438327</v>
      </c>
      <c r="N262" s="261">
        <v>2410000</v>
      </c>
      <c r="O262" s="261">
        <v>129751850</v>
      </c>
      <c r="P262" s="261">
        <f t="shared" si="102"/>
        <v>72171900</v>
      </c>
      <c r="Q262" s="177">
        <f t="shared" si="103"/>
        <v>1748150</v>
      </c>
      <c r="R262" s="261">
        <f t="shared" si="104"/>
        <v>44141623</v>
      </c>
      <c r="S262" s="257"/>
      <c r="T262" s="183" t="s">
        <v>464</v>
      </c>
      <c r="U262" s="259" t="s">
        <v>465</v>
      </c>
      <c r="V262" s="261">
        <v>41500000</v>
      </c>
      <c r="W262" s="261">
        <v>90000000</v>
      </c>
      <c r="X262" s="261">
        <v>0</v>
      </c>
      <c r="Y262" s="261">
        <v>0</v>
      </c>
      <c r="Z262" s="261">
        <v>131500000</v>
      </c>
      <c r="AA262" s="261">
        <v>410000</v>
      </c>
      <c r="AB262" s="261">
        <v>57579950</v>
      </c>
      <c r="AC262" s="261">
        <v>73920050</v>
      </c>
      <c r="AD262" s="261">
        <v>410000</v>
      </c>
      <c r="AE262" s="261">
        <v>44141623</v>
      </c>
      <c r="AF262" s="261">
        <v>13438327</v>
      </c>
      <c r="AG262" s="261">
        <v>2410000</v>
      </c>
      <c r="AH262" s="261">
        <v>129751850</v>
      </c>
      <c r="AI262" s="261">
        <v>72171900</v>
      </c>
      <c r="AJ262" s="261">
        <v>1748150</v>
      </c>
      <c r="AK262" s="261">
        <v>0</v>
      </c>
      <c r="AL262" s="261">
        <v>2000000</v>
      </c>
      <c r="AM262" s="261">
        <v>129341850</v>
      </c>
      <c r="AN262" s="261">
        <v>129341850</v>
      </c>
      <c r="AO262" s="261">
        <v>72171900</v>
      </c>
      <c r="AP262" s="261">
        <v>2158150</v>
      </c>
      <c r="AQ262" s="261"/>
      <c r="AS262" s="261"/>
    </row>
    <row r="263" spans="1:45" x14ac:dyDescent="0.25">
      <c r="A263" s="2" t="s">
        <v>466</v>
      </c>
      <c r="B263" s="259" t="s">
        <v>467</v>
      </c>
      <c r="C263" s="261">
        <v>35387626</v>
      </c>
      <c r="D263" s="261">
        <v>0</v>
      </c>
      <c r="E263" s="261">
        <v>0</v>
      </c>
      <c r="F263" s="261">
        <v>0</v>
      </c>
      <c r="G263" s="261">
        <f>+C263+D263-E263+F263</f>
        <v>35387626</v>
      </c>
      <c r="H263" s="261">
        <v>490000</v>
      </c>
      <c r="I263" s="261">
        <v>15526526</v>
      </c>
      <c r="J263" s="261">
        <f t="shared" si="101"/>
        <v>19861100</v>
      </c>
      <c r="K263" s="261">
        <v>490000</v>
      </c>
      <c r="L263" s="261">
        <v>16526526</v>
      </c>
      <c r="M263" s="261">
        <f t="shared" si="106"/>
        <v>-1000000</v>
      </c>
      <c r="N263" s="261">
        <v>2490000</v>
      </c>
      <c r="O263" s="261">
        <v>17526526</v>
      </c>
      <c r="P263" s="261">
        <f t="shared" si="102"/>
        <v>2000000</v>
      </c>
      <c r="Q263" s="177">
        <f t="shared" si="103"/>
        <v>17861100</v>
      </c>
      <c r="R263" s="261">
        <f t="shared" si="104"/>
        <v>16526526</v>
      </c>
      <c r="T263" s="183" t="s">
        <v>466</v>
      </c>
      <c r="U263" s="259" t="s">
        <v>467</v>
      </c>
      <c r="V263" s="261">
        <v>35387626</v>
      </c>
      <c r="W263" s="261">
        <v>0</v>
      </c>
      <c r="X263" s="261">
        <v>0</v>
      </c>
      <c r="Y263" s="261">
        <v>0</v>
      </c>
      <c r="Z263" s="261">
        <v>35387626</v>
      </c>
      <c r="AA263" s="261">
        <v>490000</v>
      </c>
      <c r="AB263" s="261">
        <v>15526526</v>
      </c>
      <c r="AC263" s="261">
        <v>19861100</v>
      </c>
      <c r="AD263" s="261">
        <v>490000</v>
      </c>
      <c r="AE263" s="261">
        <v>16526526</v>
      </c>
      <c r="AF263" s="261">
        <v>2000000</v>
      </c>
      <c r="AG263" s="261">
        <v>2490000</v>
      </c>
      <c r="AH263" s="261">
        <v>17526526</v>
      </c>
      <c r="AI263" s="261">
        <v>2000000</v>
      </c>
      <c r="AJ263" s="261">
        <v>17861100</v>
      </c>
      <c r="AK263" s="261">
        <v>1500000</v>
      </c>
      <c r="AL263" s="261">
        <v>2000000</v>
      </c>
      <c r="AM263" s="261">
        <v>18536526</v>
      </c>
      <c r="AN263" s="261">
        <v>17036526</v>
      </c>
      <c r="AO263" s="261">
        <v>2000000</v>
      </c>
      <c r="AP263" s="261">
        <v>18351100</v>
      </c>
      <c r="AQ263" s="261"/>
      <c r="AS263" s="261"/>
    </row>
    <row r="264" spans="1:45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 t="shared" ref="D264:R264" si="131">+D265</f>
        <v>0</v>
      </c>
      <c r="E264" s="9">
        <f t="shared" si="131"/>
        <v>0</v>
      </c>
      <c r="F264" s="9">
        <f t="shared" si="131"/>
        <v>0</v>
      </c>
      <c r="G264" s="9">
        <f t="shared" si="131"/>
        <v>42861769</v>
      </c>
      <c r="H264" s="9">
        <f t="shared" si="131"/>
        <v>0</v>
      </c>
      <c r="I264" s="9">
        <f t="shared" si="131"/>
        <v>14413374</v>
      </c>
      <c r="J264" s="9">
        <f t="shared" si="101"/>
        <v>28448395</v>
      </c>
      <c r="K264" s="9">
        <f t="shared" si="131"/>
        <v>0</v>
      </c>
      <c r="L264" s="9">
        <f t="shared" si="131"/>
        <v>11113374</v>
      </c>
      <c r="M264" s="9">
        <f t="shared" si="131"/>
        <v>3300000</v>
      </c>
      <c r="N264" s="9">
        <f t="shared" si="131"/>
        <v>800000</v>
      </c>
      <c r="O264" s="9">
        <f t="shared" si="131"/>
        <v>15213374</v>
      </c>
      <c r="P264" s="9">
        <f t="shared" si="131"/>
        <v>800000</v>
      </c>
      <c r="Q264" s="9">
        <f t="shared" si="103"/>
        <v>27648395</v>
      </c>
      <c r="R264" s="9">
        <f t="shared" si="131"/>
        <v>11113374</v>
      </c>
      <c r="T264" s="183" t="s">
        <v>468</v>
      </c>
      <c r="U264" s="259" t="s">
        <v>469</v>
      </c>
      <c r="V264" s="261">
        <v>42861769</v>
      </c>
      <c r="W264" s="261">
        <v>0</v>
      </c>
      <c r="X264" s="261">
        <v>0</v>
      </c>
      <c r="Y264" s="261">
        <v>0</v>
      </c>
      <c r="Z264" s="261">
        <v>42861769</v>
      </c>
      <c r="AA264" s="261">
        <v>0</v>
      </c>
      <c r="AB264" s="261">
        <v>14413374</v>
      </c>
      <c r="AC264" s="261">
        <v>28448395</v>
      </c>
      <c r="AD264" s="261">
        <v>0</v>
      </c>
      <c r="AE264" s="261">
        <v>11113374</v>
      </c>
      <c r="AF264" s="261">
        <v>3300000</v>
      </c>
      <c r="AG264" s="261">
        <v>800000</v>
      </c>
      <c r="AH264" s="261">
        <v>15213374</v>
      </c>
      <c r="AI264" s="261">
        <v>800000</v>
      </c>
      <c r="AJ264" s="261">
        <v>27648395</v>
      </c>
      <c r="AK264" s="261">
        <v>0</v>
      </c>
      <c r="AL264" s="261">
        <v>800000</v>
      </c>
      <c r="AM264" s="261">
        <v>15213374</v>
      </c>
      <c r="AN264" s="261">
        <v>15213374</v>
      </c>
      <c r="AO264" s="261">
        <v>800000</v>
      </c>
      <c r="AP264" s="261">
        <v>27648395</v>
      </c>
      <c r="AQ264" s="9"/>
      <c r="AS264" s="9"/>
    </row>
    <row r="265" spans="1:45" x14ac:dyDescent="0.25">
      <c r="A265" s="2" t="s">
        <v>470</v>
      </c>
      <c r="B265" s="259" t="s">
        <v>471</v>
      </c>
      <c r="C265" s="261">
        <v>42861769</v>
      </c>
      <c r="D265" s="261">
        <v>0</v>
      </c>
      <c r="E265" s="261">
        <v>0</v>
      </c>
      <c r="F265" s="261">
        <v>0</v>
      </c>
      <c r="G265" s="261">
        <f>+C265+D265-E265+F265</f>
        <v>42861769</v>
      </c>
      <c r="H265" s="261">
        <v>0</v>
      </c>
      <c r="I265" s="261">
        <v>14413374</v>
      </c>
      <c r="J265" s="261">
        <f t="shared" ref="J265:J328" si="132">+G265-I265</f>
        <v>28448395</v>
      </c>
      <c r="K265" s="261">
        <v>0</v>
      </c>
      <c r="L265" s="261">
        <v>11113374</v>
      </c>
      <c r="M265" s="261">
        <f t="shared" si="106"/>
        <v>3300000</v>
      </c>
      <c r="N265" s="261">
        <v>800000</v>
      </c>
      <c r="O265" s="261">
        <v>15213374</v>
      </c>
      <c r="P265" s="261">
        <f t="shared" si="102"/>
        <v>800000</v>
      </c>
      <c r="Q265" s="177">
        <f t="shared" ref="Q265:Q328" si="133">+G265-O265</f>
        <v>27648395</v>
      </c>
      <c r="R265" s="261">
        <f t="shared" si="104"/>
        <v>11113374</v>
      </c>
      <c r="T265" s="183" t="s">
        <v>470</v>
      </c>
      <c r="U265" s="259" t="s">
        <v>471</v>
      </c>
      <c r="V265" s="261">
        <v>42861769</v>
      </c>
      <c r="W265" s="261">
        <v>0</v>
      </c>
      <c r="X265" s="261">
        <v>0</v>
      </c>
      <c r="Y265" s="261">
        <v>0</v>
      </c>
      <c r="Z265" s="261">
        <v>42861769</v>
      </c>
      <c r="AA265" s="261">
        <v>0</v>
      </c>
      <c r="AB265" s="261">
        <v>14413374</v>
      </c>
      <c r="AC265" s="261">
        <v>28448395</v>
      </c>
      <c r="AD265" s="261">
        <v>0</v>
      </c>
      <c r="AE265" s="261">
        <v>11113374</v>
      </c>
      <c r="AF265" s="261">
        <v>3300000</v>
      </c>
      <c r="AG265" s="261">
        <v>800000</v>
      </c>
      <c r="AH265" s="261">
        <v>15213374</v>
      </c>
      <c r="AI265" s="261">
        <v>800000</v>
      </c>
      <c r="AJ265" s="261">
        <v>27648395</v>
      </c>
      <c r="AK265" s="261">
        <v>0</v>
      </c>
      <c r="AL265" s="261">
        <v>800000</v>
      </c>
      <c r="AM265" s="261">
        <v>15213374</v>
      </c>
      <c r="AN265" s="261">
        <v>15213374</v>
      </c>
      <c r="AO265" s="261">
        <v>800000</v>
      </c>
      <c r="AP265" s="261">
        <v>27648395</v>
      </c>
      <c r="AQ265" s="261"/>
      <c r="AS265" s="261"/>
    </row>
    <row r="266" spans="1:45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 t="shared" ref="D266:R266" si="134">+D267</f>
        <v>0</v>
      </c>
      <c r="E266" s="9">
        <f t="shared" si="134"/>
        <v>0</v>
      </c>
      <c r="F266" s="9">
        <f t="shared" si="134"/>
        <v>0</v>
      </c>
      <c r="G266" s="9">
        <f t="shared" si="134"/>
        <v>30000000</v>
      </c>
      <c r="H266" s="9">
        <f t="shared" si="134"/>
        <v>0</v>
      </c>
      <c r="I266" s="9">
        <f t="shared" si="134"/>
        <v>2000000</v>
      </c>
      <c r="J266" s="9">
        <f t="shared" si="132"/>
        <v>28000000</v>
      </c>
      <c r="K266" s="9">
        <f t="shared" si="134"/>
        <v>0</v>
      </c>
      <c r="L266" s="9">
        <f t="shared" si="134"/>
        <v>0</v>
      </c>
      <c r="M266" s="9">
        <f t="shared" si="134"/>
        <v>2000000</v>
      </c>
      <c r="N266" s="9">
        <f t="shared" si="134"/>
        <v>0</v>
      </c>
      <c r="O266" s="9">
        <f t="shared" si="134"/>
        <v>2000000</v>
      </c>
      <c r="P266" s="9">
        <f t="shared" si="134"/>
        <v>0</v>
      </c>
      <c r="Q266" s="9">
        <f t="shared" si="133"/>
        <v>28000000</v>
      </c>
      <c r="R266" s="9">
        <f t="shared" si="134"/>
        <v>0</v>
      </c>
      <c r="T266" s="183" t="s">
        <v>472</v>
      </c>
      <c r="U266" s="259" t="s">
        <v>473</v>
      </c>
      <c r="V266" s="261">
        <v>30000000</v>
      </c>
      <c r="W266" s="261">
        <v>0</v>
      </c>
      <c r="X266" s="261">
        <v>0</v>
      </c>
      <c r="Y266" s="261">
        <v>0</v>
      </c>
      <c r="Z266" s="261">
        <v>30000000</v>
      </c>
      <c r="AA266" s="261">
        <v>0</v>
      </c>
      <c r="AB266" s="261">
        <v>2000000</v>
      </c>
      <c r="AC266" s="261">
        <v>28000000</v>
      </c>
      <c r="AD266" s="261">
        <v>0</v>
      </c>
      <c r="AE266" s="261">
        <v>0</v>
      </c>
      <c r="AF266" s="261">
        <v>2000000</v>
      </c>
      <c r="AG266" s="261">
        <v>0</v>
      </c>
      <c r="AH266" s="261">
        <v>2000000</v>
      </c>
      <c r="AI266" s="261">
        <v>0</v>
      </c>
      <c r="AJ266" s="261">
        <v>28000000</v>
      </c>
      <c r="AK266" s="261">
        <v>0</v>
      </c>
      <c r="AL266" s="261">
        <v>0</v>
      </c>
      <c r="AM266" s="261">
        <v>2000000</v>
      </c>
      <c r="AN266" s="261">
        <v>2000000</v>
      </c>
      <c r="AO266" s="261">
        <v>0</v>
      </c>
      <c r="AP266" s="261">
        <v>28000000</v>
      </c>
      <c r="AQ266" s="9"/>
      <c r="AS266" s="9"/>
    </row>
    <row r="267" spans="1:45" x14ac:dyDescent="0.25">
      <c r="A267" s="2" t="s">
        <v>474</v>
      </c>
      <c r="B267" s="259" t="s">
        <v>475</v>
      </c>
      <c r="C267" s="261">
        <v>30000000</v>
      </c>
      <c r="D267" s="261">
        <v>0</v>
      </c>
      <c r="E267" s="261">
        <v>0</v>
      </c>
      <c r="F267" s="261">
        <v>0</v>
      </c>
      <c r="G267" s="261">
        <f>+C267+D267-E267+F267</f>
        <v>30000000</v>
      </c>
      <c r="H267" s="261">
        <v>0</v>
      </c>
      <c r="I267" s="261">
        <v>2000000</v>
      </c>
      <c r="J267" s="261">
        <f t="shared" si="132"/>
        <v>28000000</v>
      </c>
      <c r="K267" s="261">
        <v>0</v>
      </c>
      <c r="L267" s="261">
        <v>0</v>
      </c>
      <c r="M267" s="261">
        <f t="shared" si="106"/>
        <v>2000000</v>
      </c>
      <c r="N267" s="261">
        <v>0</v>
      </c>
      <c r="O267" s="261">
        <v>2000000</v>
      </c>
      <c r="P267" s="261">
        <f>+O267-I267</f>
        <v>0</v>
      </c>
      <c r="Q267" s="177">
        <f t="shared" si="133"/>
        <v>28000000</v>
      </c>
      <c r="R267" s="261">
        <f>+L267</f>
        <v>0</v>
      </c>
      <c r="T267" s="183" t="s">
        <v>474</v>
      </c>
      <c r="U267" s="259" t="s">
        <v>475</v>
      </c>
      <c r="V267" s="261">
        <v>30000000</v>
      </c>
      <c r="W267" s="261">
        <v>0</v>
      </c>
      <c r="X267" s="261">
        <v>0</v>
      </c>
      <c r="Y267" s="261">
        <v>0</v>
      </c>
      <c r="Z267" s="261">
        <v>30000000</v>
      </c>
      <c r="AA267" s="261">
        <v>0</v>
      </c>
      <c r="AB267" s="261">
        <v>2000000</v>
      </c>
      <c r="AC267" s="261">
        <v>28000000</v>
      </c>
      <c r="AD267" s="261">
        <v>0</v>
      </c>
      <c r="AE267" s="261">
        <v>0</v>
      </c>
      <c r="AF267" s="261">
        <v>2000000</v>
      </c>
      <c r="AG267" s="261">
        <v>0</v>
      </c>
      <c r="AH267" s="261">
        <v>2000000</v>
      </c>
      <c r="AI267" s="261">
        <v>0</v>
      </c>
      <c r="AJ267" s="261">
        <v>28000000</v>
      </c>
      <c r="AK267" s="261">
        <v>0</v>
      </c>
      <c r="AL267" s="261">
        <v>0</v>
      </c>
      <c r="AM267" s="261">
        <v>2000000</v>
      </c>
      <c r="AN267" s="261">
        <v>2000000</v>
      </c>
      <c r="AO267" s="261">
        <v>0</v>
      </c>
      <c r="AP267" s="261">
        <v>28000000</v>
      </c>
      <c r="AQ267" s="261"/>
      <c r="AS267" s="261"/>
    </row>
    <row r="268" spans="1:45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 t="shared" ref="D268:R268" si="135">+D269</f>
        <v>75000000</v>
      </c>
      <c r="E268" s="9">
        <f t="shared" si="135"/>
        <v>0</v>
      </c>
      <c r="F268" s="9">
        <f t="shared" si="135"/>
        <v>0</v>
      </c>
      <c r="G268" s="9">
        <f t="shared" si="135"/>
        <v>199706110</v>
      </c>
      <c r="H268" s="9">
        <f t="shared" si="135"/>
        <v>50459662</v>
      </c>
      <c r="I268" s="9">
        <f t="shared" si="135"/>
        <v>181885133</v>
      </c>
      <c r="J268" s="9">
        <f t="shared" si="132"/>
        <v>17820977</v>
      </c>
      <c r="K268" s="9">
        <f t="shared" si="135"/>
        <v>15000000</v>
      </c>
      <c r="L268" s="9">
        <f t="shared" si="135"/>
        <v>105418900</v>
      </c>
      <c r="M268" s="9">
        <f t="shared" si="135"/>
        <v>76466233</v>
      </c>
      <c r="N268" s="9">
        <f t="shared" si="135"/>
        <v>960800</v>
      </c>
      <c r="O268" s="9">
        <f t="shared" si="135"/>
        <v>191558800</v>
      </c>
      <c r="P268" s="9">
        <f t="shared" si="135"/>
        <v>9673667</v>
      </c>
      <c r="Q268" s="9">
        <f t="shared" si="133"/>
        <v>8147310</v>
      </c>
      <c r="R268" s="9">
        <f t="shared" si="135"/>
        <v>105418900</v>
      </c>
      <c r="T268" s="183" t="s">
        <v>476</v>
      </c>
      <c r="U268" s="259" t="s">
        <v>477</v>
      </c>
      <c r="V268" s="261">
        <v>124706110</v>
      </c>
      <c r="W268" s="261">
        <v>75000000</v>
      </c>
      <c r="X268" s="261">
        <v>0</v>
      </c>
      <c r="Y268" s="261">
        <v>0</v>
      </c>
      <c r="Z268" s="261">
        <v>199706110</v>
      </c>
      <c r="AA268" s="261">
        <v>50459662</v>
      </c>
      <c r="AB268" s="261">
        <v>181885133</v>
      </c>
      <c r="AC268" s="261">
        <v>17820977</v>
      </c>
      <c r="AD268" s="261">
        <v>15000000</v>
      </c>
      <c r="AE268" s="261">
        <v>105418900</v>
      </c>
      <c r="AF268" s="261">
        <v>76466233</v>
      </c>
      <c r="AG268" s="261">
        <v>960800</v>
      </c>
      <c r="AH268" s="261">
        <v>191558800</v>
      </c>
      <c r="AI268" s="261">
        <v>9673667</v>
      </c>
      <c r="AJ268" s="261">
        <v>8147310</v>
      </c>
      <c r="AK268" s="261">
        <v>0</v>
      </c>
      <c r="AL268" s="261">
        <v>500000</v>
      </c>
      <c r="AM268" s="261">
        <v>191098000</v>
      </c>
      <c r="AN268" s="261">
        <v>191098000</v>
      </c>
      <c r="AO268" s="261">
        <v>59672529</v>
      </c>
      <c r="AP268" s="261">
        <v>8608110</v>
      </c>
      <c r="AQ268" s="9"/>
      <c r="AS268" s="9"/>
    </row>
    <row r="269" spans="1:45" s="1" customFormat="1" x14ac:dyDescent="0.25">
      <c r="A269" s="2" t="s">
        <v>478</v>
      </c>
      <c r="B269" s="259" t="s">
        <v>479</v>
      </c>
      <c r="C269" s="261">
        <v>124706110</v>
      </c>
      <c r="D269" s="261">
        <f>25000000+50000000</f>
        <v>75000000</v>
      </c>
      <c r="E269" s="261">
        <v>0</v>
      </c>
      <c r="F269" s="261">
        <v>0</v>
      </c>
      <c r="G269" s="261">
        <f>+C269+D269-E269+F269</f>
        <v>199706110</v>
      </c>
      <c r="H269" s="261">
        <v>50459662</v>
      </c>
      <c r="I269" s="261">
        <v>181885133</v>
      </c>
      <c r="J269" s="261">
        <f t="shared" si="132"/>
        <v>17820977</v>
      </c>
      <c r="K269" s="261">
        <v>15000000</v>
      </c>
      <c r="L269" s="261">
        <v>105418900</v>
      </c>
      <c r="M269" s="261">
        <f>+I269-L269</f>
        <v>76466233</v>
      </c>
      <c r="N269" s="261">
        <v>960800</v>
      </c>
      <c r="O269" s="261">
        <v>191558800</v>
      </c>
      <c r="P269" s="261">
        <f>+O269-I269</f>
        <v>9673667</v>
      </c>
      <c r="Q269" s="177">
        <f t="shared" si="133"/>
        <v>8147310</v>
      </c>
      <c r="R269" s="261">
        <f>+L269</f>
        <v>105418900</v>
      </c>
      <c r="S269" s="257"/>
      <c r="T269" s="183" t="s">
        <v>478</v>
      </c>
      <c r="U269" s="259" t="s">
        <v>479</v>
      </c>
      <c r="V269" s="261">
        <v>124706110</v>
      </c>
      <c r="W269" s="261">
        <v>75000000</v>
      </c>
      <c r="X269" s="261">
        <v>0</v>
      </c>
      <c r="Y269" s="261">
        <v>0</v>
      </c>
      <c r="Z269" s="261">
        <v>199706110</v>
      </c>
      <c r="AA269" s="261">
        <v>50459662</v>
      </c>
      <c r="AB269" s="261">
        <v>181885133</v>
      </c>
      <c r="AC269" s="261">
        <v>17820977</v>
      </c>
      <c r="AD269" s="261">
        <v>15000000</v>
      </c>
      <c r="AE269" s="261">
        <v>105418900</v>
      </c>
      <c r="AF269" s="261">
        <v>76466233</v>
      </c>
      <c r="AG269" s="261">
        <v>960800</v>
      </c>
      <c r="AH269" s="261">
        <v>191558800</v>
      </c>
      <c r="AI269" s="261">
        <v>9673667</v>
      </c>
      <c r="AJ269" s="261">
        <v>8147310</v>
      </c>
      <c r="AK269" s="261">
        <v>0</v>
      </c>
      <c r="AL269" s="261">
        <v>500000</v>
      </c>
      <c r="AM269" s="261">
        <v>191098000</v>
      </c>
      <c r="AN269" s="261">
        <v>191098000</v>
      </c>
      <c r="AO269" s="261">
        <v>59672529</v>
      </c>
      <c r="AP269" s="261">
        <v>8608110</v>
      </c>
      <c r="AQ269" s="261"/>
      <c r="AS269" s="261"/>
    </row>
    <row r="270" spans="1:45" x14ac:dyDescent="0.25">
      <c r="A270" s="7" t="s">
        <v>480</v>
      </c>
      <c r="B270" s="8" t="s">
        <v>481</v>
      </c>
      <c r="C270" s="9">
        <f>+C271+C275+C278</f>
        <v>274813420</v>
      </c>
      <c r="D270" s="9">
        <f t="shared" ref="D270:R270" si="136">+D271+D275+D278</f>
        <v>82000000</v>
      </c>
      <c r="E270" s="9">
        <f t="shared" si="136"/>
        <v>0</v>
      </c>
      <c r="F270" s="9">
        <f t="shared" si="136"/>
        <v>0</v>
      </c>
      <c r="G270" s="9">
        <f t="shared" si="136"/>
        <v>356813420</v>
      </c>
      <c r="H270" s="9">
        <f t="shared" si="136"/>
        <v>35533615</v>
      </c>
      <c r="I270" s="9">
        <f t="shared" si="136"/>
        <v>212106691</v>
      </c>
      <c r="J270" s="9">
        <f t="shared" si="132"/>
        <v>144706729</v>
      </c>
      <c r="K270" s="9">
        <f t="shared" si="136"/>
        <v>12811269</v>
      </c>
      <c r="L270" s="9">
        <f t="shared" si="136"/>
        <v>94247594</v>
      </c>
      <c r="M270" s="9">
        <f t="shared" si="136"/>
        <v>117859097</v>
      </c>
      <c r="N270" s="9">
        <f t="shared" si="136"/>
        <v>3097840</v>
      </c>
      <c r="O270" s="9">
        <f t="shared" si="136"/>
        <v>227086149</v>
      </c>
      <c r="P270" s="9">
        <f t="shared" si="136"/>
        <v>14979458</v>
      </c>
      <c r="Q270" s="9">
        <f t="shared" si="133"/>
        <v>129727271</v>
      </c>
      <c r="R270" s="9">
        <f t="shared" si="136"/>
        <v>94247594</v>
      </c>
      <c r="S270" s="1"/>
      <c r="T270" s="183" t="s">
        <v>480</v>
      </c>
      <c r="U270" s="259" t="s">
        <v>481</v>
      </c>
      <c r="V270" s="261">
        <v>274813420</v>
      </c>
      <c r="W270" s="261">
        <v>82000000</v>
      </c>
      <c r="X270" s="261">
        <v>0</v>
      </c>
      <c r="Y270" s="261">
        <v>0</v>
      </c>
      <c r="Z270" s="261">
        <v>356813420</v>
      </c>
      <c r="AA270" s="261">
        <v>35533615</v>
      </c>
      <c r="AB270" s="261">
        <v>212106691</v>
      </c>
      <c r="AC270" s="261">
        <v>144706729</v>
      </c>
      <c r="AD270" s="261">
        <v>12811269</v>
      </c>
      <c r="AE270" s="261">
        <v>94247594</v>
      </c>
      <c r="AF270" s="261">
        <v>117859097</v>
      </c>
      <c r="AG270" s="261">
        <v>3097840</v>
      </c>
      <c r="AH270" s="261">
        <v>227086149</v>
      </c>
      <c r="AI270" s="261">
        <v>14979458</v>
      </c>
      <c r="AJ270" s="261">
        <v>129727271</v>
      </c>
      <c r="AK270" s="261">
        <v>1000000</v>
      </c>
      <c r="AL270" s="261">
        <v>3097840</v>
      </c>
      <c r="AM270" s="261">
        <v>233967284</v>
      </c>
      <c r="AN270" s="261">
        <v>232967284</v>
      </c>
      <c r="AO270" s="261">
        <v>20860593</v>
      </c>
      <c r="AP270" s="261">
        <v>123846136</v>
      </c>
      <c r="AQ270" s="9"/>
      <c r="AS270" s="9"/>
    </row>
    <row r="271" spans="1:45" x14ac:dyDescent="0.25">
      <c r="A271" s="7" t="s">
        <v>482</v>
      </c>
      <c r="B271" s="8" t="s">
        <v>483</v>
      </c>
      <c r="C271" s="9">
        <f>+C272+C273+C274</f>
        <v>225261341</v>
      </c>
      <c r="D271" s="9">
        <f t="shared" ref="D271:R271" si="137">+D272+D273+D274</f>
        <v>0</v>
      </c>
      <c r="E271" s="9">
        <f t="shared" si="137"/>
        <v>0</v>
      </c>
      <c r="F271" s="9">
        <f t="shared" si="137"/>
        <v>0</v>
      </c>
      <c r="G271" s="9">
        <f t="shared" si="137"/>
        <v>225261341</v>
      </c>
      <c r="H271" s="9">
        <f t="shared" si="137"/>
        <v>33435775</v>
      </c>
      <c r="I271" s="9">
        <f t="shared" si="137"/>
        <v>184378309</v>
      </c>
      <c r="J271" s="9">
        <f t="shared" si="132"/>
        <v>40883032</v>
      </c>
      <c r="K271" s="9">
        <f t="shared" si="137"/>
        <v>10713429</v>
      </c>
      <c r="L271" s="9">
        <f t="shared" si="137"/>
        <v>91899754</v>
      </c>
      <c r="M271" s="9">
        <f t="shared" si="137"/>
        <v>92478555</v>
      </c>
      <c r="N271" s="9">
        <f t="shared" si="137"/>
        <v>200000</v>
      </c>
      <c r="O271" s="9">
        <f t="shared" si="137"/>
        <v>198538309</v>
      </c>
      <c r="P271" s="9">
        <f t="shared" si="137"/>
        <v>14160000</v>
      </c>
      <c r="Q271" s="9">
        <f t="shared" si="133"/>
        <v>26723032</v>
      </c>
      <c r="R271" s="9">
        <f t="shared" si="137"/>
        <v>91899754</v>
      </c>
      <c r="S271" s="1"/>
      <c r="T271" s="183" t="s">
        <v>482</v>
      </c>
      <c r="U271" s="259" t="s">
        <v>483</v>
      </c>
      <c r="V271" s="261">
        <v>225261341</v>
      </c>
      <c r="W271" s="261">
        <v>0</v>
      </c>
      <c r="X271" s="261">
        <v>0</v>
      </c>
      <c r="Y271" s="261">
        <v>0</v>
      </c>
      <c r="Z271" s="261">
        <v>225261341</v>
      </c>
      <c r="AA271" s="261">
        <v>33435775</v>
      </c>
      <c r="AB271" s="261">
        <v>184378309</v>
      </c>
      <c r="AC271" s="261">
        <v>40883032</v>
      </c>
      <c r="AD271" s="261">
        <v>10713429</v>
      </c>
      <c r="AE271" s="261">
        <v>91899754</v>
      </c>
      <c r="AF271" s="261">
        <v>92478555</v>
      </c>
      <c r="AG271" s="261">
        <v>200000</v>
      </c>
      <c r="AH271" s="261">
        <v>198538309</v>
      </c>
      <c r="AI271" s="261">
        <v>14160000</v>
      </c>
      <c r="AJ271" s="261">
        <v>26723032</v>
      </c>
      <c r="AK271" s="261">
        <v>1000000</v>
      </c>
      <c r="AL271" s="261">
        <v>200000</v>
      </c>
      <c r="AM271" s="261">
        <v>205419444</v>
      </c>
      <c r="AN271" s="261">
        <v>204419444</v>
      </c>
      <c r="AO271" s="261">
        <v>20041135</v>
      </c>
      <c r="AP271" s="261">
        <v>20841897</v>
      </c>
      <c r="AQ271" s="9"/>
      <c r="AS271" s="9"/>
    </row>
    <row r="272" spans="1:45" x14ac:dyDescent="0.25">
      <c r="A272" s="2" t="s">
        <v>484</v>
      </c>
      <c r="B272" s="259" t="s">
        <v>485</v>
      </c>
      <c r="C272" s="261">
        <v>40000000</v>
      </c>
      <c r="D272" s="261">
        <v>0</v>
      </c>
      <c r="E272" s="261">
        <v>0</v>
      </c>
      <c r="F272" s="261">
        <v>0</v>
      </c>
      <c r="G272" s="261">
        <f>+C272+D272-E272+F272</f>
        <v>40000000</v>
      </c>
      <c r="H272" s="261">
        <v>0</v>
      </c>
      <c r="I272" s="261">
        <v>28980000</v>
      </c>
      <c r="J272" s="261">
        <f t="shared" si="132"/>
        <v>11020000</v>
      </c>
      <c r="K272" s="261">
        <v>4830000</v>
      </c>
      <c r="L272" s="261">
        <v>19320000</v>
      </c>
      <c r="M272" s="261">
        <f>+I272-L272</f>
        <v>9660000</v>
      </c>
      <c r="N272" s="261">
        <v>0</v>
      </c>
      <c r="O272" s="261">
        <v>34118865</v>
      </c>
      <c r="P272" s="261">
        <f>+O272-I272</f>
        <v>5138865</v>
      </c>
      <c r="Q272" s="177">
        <f t="shared" si="133"/>
        <v>5881135</v>
      </c>
      <c r="R272" s="261">
        <f>+L272</f>
        <v>19320000</v>
      </c>
      <c r="T272" s="183" t="s">
        <v>484</v>
      </c>
      <c r="U272" s="259" t="s">
        <v>485</v>
      </c>
      <c r="V272" s="261">
        <v>40000000</v>
      </c>
      <c r="W272" s="261">
        <v>0</v>
      </c>
      <c r="X272" s="261">
        <v>0</v>
      </c>
      <c r="Y272" s="261">
        <v>0</v>
      </c>
      <c r="Z272" s="261">
        <v>40000000</v>
      </c>
      <c r="AA272" s="261">
        <v>0</v>
      </c>
      <c r="AB272" s="261">
        <v>28980000</v>
      </c>
      <c r="AC272" s="261">
        <v>11020000</v>
      </c>
      <c r="AD272" s="261">
        <v>4830000</v>
      </c>
      <c r="AE272" s="261">
        <v>19320000</v>
      </c>
      <c r="AF272" s="261">
        <v>9660000</v>
      </c>
      <c r="AG272" s="261">
        <v>0</v>
      </c>
      <c r="AH272" s="261">
        <v>34118865</v>
      </c>
      <c r="AI272" s="261">
        <v>5138865</v>
      </c>
      <c r="AJ272" s="261">
        <v>5881135</v>
      </c>
      <c r="AK272" s="261">
        <v>0</v>
      </c>
      <c r="AL272" s="261">
        <v>0</v>
      </c>
      <c r="AM272" s="261">
        <v>40000000</v>
      </c>
      <c r="AN272" s="261">
        <v>40000000</v>
      </c>
      <c r="AO272" s="261">
        <v>11020000</v>
      </c>
      <c r="AP272" s="261">
        <v>0</v>
      </c>
      <c r="AQ272" s="261"/>
      <c r="AS272" s="261"/>
    </row>
    <row r="273" spans="1:45" s="1" customFormat="1" x14ac:dyDescent="0.25">
      <c r="A273" s="2" t="s">
        <v>486</v>
      </c>
      <c r="B273" s="259" t="s">
        <v>487</v>
      </c>
      <c r="C273" s="261">
        <v>90261341</v>
      </c>
      <c r="D273" s="261">
        <v>0</v>
      </c>
      <c r="E273" s="261">
        <v>0</v>
      </c>
      <c r="F273" s="261">
        <v>0</v>
      </c>
      <c r="G273" s="261">
        <f>+C273+D273-E273+F273</f>
        <v>90261341</v>
      </c>
      <c r="H273" s="261">
        <v>8235775</v>
      </c>
      <c r="I273" s="261">
        <v>81371679</v>
      </c>
      <c r="J273" s="261">
        <f t="shared" si="132"/>
        <v>8889662</v>
      </c>
      <c r="K273" s="261">
        <v>4273429</v>
      </c>
      <c r="L273" s="261">
        <v>36209161</v>
      </c>
      <c r="M273" s="261">
        <f>+I273-L273</f>
        <v>45162518</v>
      </c>
      <c r="N273" s="261">
        <v>0</v>
      </c>
      <c r="O273" s="261">
        <v>81371679</v>
      </c>
      <c r="P273" s="261">
        <f>+O273-I273</f>
        <v>0</v>
      </c>
      <c r="Q273" s="177">
        <f t="shared" si="133"/>
        <v>8889662</v>
      </c>
      <c r="R273" s="261">
        <f>+L273</f>
        <v>36209161</v>
      </c>
      <c r="S273" s="257"/>
      <c r="T273" s="183" t="s">
        <v>486</v>
      </c>
      <c r="U273" s="259" t="s">
        <v>487</v>
      </c>
      <c r="V273" s="261">
        <v>90261341</v>
      </c>
      <c r="W273" s="261">
        <v>0</v>
      </c>
      <c r="X273" s="261">
        <v>0</v>
      </c>
      <c r="Y273" s="261">
        <v>0</v>
      </c>
      <c r="Z273" s="261">
        <v>90261341</v>
      </c>
      <c r="AA273" s="261">
        <v>8235775</v>
      </c>
      <c r="AB273" s="261">
        <v>81371679</v>
      </c>
      <c r="AC273" s="261">
        <v>8889662</v>
      </c>
      <c r="AD273" s="261">
        <v>4273429</v>
      </c>
      <c r="AE273" s="261">
        <v>36209161</v>
      </c>
      <c r="AF273" s="261">
        <v>45162518</v>
      </c>
      <c r="AG273" s="261">
        <v>0</v>
      </c>
      <c r="AH273" s="261">
        <v>81371679</v>
      </c>
      <c r="AI273" s="261">
        <v>0</v>
      </c>
      <c r="AJ273" s="261">
        <v>8889662</v>
      </c>
      <c r="AK273" s="261">
        <v>0</v>
      </c>
      <c r="AL273" s="261">
        <v>0</v>
      </c>
      <c r="AM273" s="261">
        <v>81371679</v>
      </c>
      <c r="AN273" s="261">
        <v>81371679</v>
      </c>
      <c r="AO273" s="261">
        <v>0</v>
      </c>
      <c r="AP273" s="261">
        <v>8889662</v>
      </c>
      <c r="AQ273" s="261"/>
      <c r="AS273" s="261"/>
    </row>
    <row r="274" spans="1:45" x14ac:dyDescent="0.25">
      <c r="A274" s="2" t="s">
        <v>488</v>
      </c>
      <c r="B274" s="259" t="s">
        <v>489</v>
      </c>
      <c r="C274" s="261">
        <v>95000000</v>
      </c>
      <c r="D274" s="261">
        <v>0</v>
      </c>
      <c r="E274" s="261">
        <v>0</v>
      </c>
      <c r="F274" s="261">
        <v>0</v>
      </c>
      <c r="G274" s="261">
        <f>+C274+D274-E274+F274</f>
        <v>95000000</v>
      </c>
      <c r="H274" s="261">
        <v>25200000</v>
      </c>
      <c r="I274" s="261">
        <v>74026630</v>
      </c>
      <c r="J274" s="261">
        <f t="shared" si="132"/>
        <v>20973370</v>
      </c>
      <c r="K274" s="261">
        <v>1610000</v>
      </c>
      <c r="L274" s="261">
        <v>36370593</v>
      </c>
      <c r="M274" s="261">
        <f>+I274-L274</f>
        <v>37656037</v>
      </c>
      <c r="N274" s="261">
        <v>200000</v>
      </c>
      <c r="O274" s="261">
        <v>83047765</v>
      </c>
      <c r="P274" s="261">
        <f>+O274-I274</f>
        <v>9021135</v>
      </c>
      <c r="Q274" s="177">
        <f t="shared" si="133"/>
        <v>11952235</v>
      </c>
      <c r="R274" s="261">
        <f>+L274</f>
        <v>36370593</v>
      </c>
      <c r="T274" s="183" t="s">
        <v>488</v>
      </c>
      <c r="U274" s="259" t="s">
        <v>489</v>
      </c>
      <c r="V274" s="261">
        <v>95000000</v>
      </c>
      <c r="W274" s="261">
        <v>0</v>
      </c>
      <c r="X274" s="261">
        <v>0</v>
      </c>
      <c r="Y274" s="261">
        <v>0</v>
      </c>
      <c r="Z274" s="261">
        <v>95000000</v>
      </c>
      <c r="AA274" s="261">
        <v>25200000</v>
      </c>
      <c r="AB274" s="261">
        <v>74026630</v>
      </c>
      <c r="AC274" s="261">
        <v>20973370</v>
      </c>
      <c r="AD274" s="261">
        <v>1610000</v>
      </c>
      <c r="AE274" s="261">
        <v>36370593</v>
      </c>
      <c r="AF274" s="261">
        <v>37656037</v>
      </c>
      <c r="AG274" s="261">
        <v>200000</v>
      </c>
      <c r="AH274" s="261">
        <v>83047765</v>
      </c>
      <c r="AI274" s="261">
        <v>9021135</v>
      </c>
      <c r="AJ274" s="261">
        <v>11952235</v>
      </c>
      <c r="AK274" s="261">
        <v>1000000</v>
      </c>
      <c r="AL274" s="261">
        <v>200000</v>
      </c>
      <c r="AM274" s="261">
        <v>84047765</v>
      </c>
      <c r="AN274" s="261">
        <v>83047765</v>
      </c>
      <c r="AO274" s="261">
        <v>9021135</v>
      </c>
      <c r="AP274" s="261">
        <v>11952235</v>
      </c>
      <c r="AQ274" s="261"/>
      <c r="AS274" s="261"/>
    </row>
    <row r="275" spans="1:45" x14ac:dyDescent="0.25">
      <c r="A275" s="7" t="s">
        <v>490</v>
      </c>
      <c r="B275" s="8" t="s">
        <v>491</v>
      </c>
      <c r="C275" s="9">
        <f>+C276+C277</f>
        <v>49552079</v>
      </c>
      <c r="D275" s="9">
        <f t="shared" ref="D275:R275" si="138">+D276+D277</f>
        <v>0</v>
      </c>
      <c r="E275" s="9">
        <f t="shared" si="138"/>
        <v>0</v>
      </c>
      <c r="F275" s="9">
        <f t="shared" si="138"/>
        <v>0</v>
      </c>
      <c r="G275" s="9">
        <f t="shared" si="138"/>
        <v>49552079</v>
      </c>
      <c r="H275" s="9">
        <f t="shared" si="138"/>
        <v>2097840</v>
      </c>
      <c r="I275" s="9">
        <f t="shared" si="138"/>
        <v>26228382</v>
      </c>
      <c r="J275" s="9">
        <f t="shared" si="132"/>
        <v>23323697</v>
      </c>
      <c r="K275" s="9">
        <f t="shared" si="138"/>
        <v>2097840</v>
      </c>
      <c r="L275" s="9">
        <f t="shared" si="138"/>
        <v>2347840</v>
      </c>
      <c r="M275" s="9">
        <f t="shared" si="138"/>
        <v>23880542</v>
      </c>
      <c r="N275" s="9">
        <f t="shared" si="138"/>
        <v>2897840</v>
      </c>
      <c r="O275" s="9">
        <f t="shared" si="138"/>
        <v>27047840</v>
      </c>
      <c r="P275" s="9">
        <f t="shared" si="138"/>
        <v>819458</v>
      </c>
      <c r="Q275" s="9">
        <f t="shared" si="133"/>
        <v>22504239</v>
      </c>
      <c r="R275" s="9">
        <f t="shared" si="138"/>
        <v>2347840</v>
      </c>
      <c r="S275" s="1"/>
      <c r="T275" s="183" t="s">
        <v>490</v>
      </c>
      <c r="U275" s="259" t="s">
        <v>491</v>
      </c>
      <c r="V275" s="261">
        <v>49552079</v>
      </c>
      <c r="W275" s="261">
        <v>0</v>
      </c>
      <c r="X275" s="261">
        <v>0</v>
      </c>
      <c r="Y275" s="261">
        <v>0</v>
      </c>
      <c r="Z275" s="261">
        <v>49552079</v>
      </c>
      <c r="AA275" s="261">
        <v>2097840</v>
      </c>
      <c r="AB275" s="261">
        <v>26228382</v>
      </c>
      <c r="AC275" s="261">
        <v>23323697</v>
      </c>
      <c r="AD275" s="261">
        <v>2097840</v>
      </c>
      <c r="AE275" s="261">
        <v>2347840</v>
      </c>
      <c r="AF275" s="261">
        <v>23880542</v>
      </c>
      <c r="AG275" s="261">
        <v>2897840</v>
      </c>
      <c r="AH275" s="261">
        <v>27047840</v>
      </c>
      <c r="AI275" s="261">
        <v>819458</v>
      </c>
      <c r="AJ275" s="261">
        <v>22504239</v>
      </c>
      <c r="AK275" s="261">
        <v>0</v>
      </c>
      <c r="AL275" s="261">
        <v>2897840</v>
      </c>
      <c r="AM275" s="261">
        <v>27047840</v>
      </c>
      <c r="AN275" s="261">
        <v>27047840</v>
      </c>
      <c r="AO275" s="261">
        <v>819458</v>
      </c>
      <c r="AP275" s="261">
        <v>22504239</v>
      </c>
      <c r="AQ275" s="9"/>
      <c r="AS275" s="9"/>
    </row>
    <row r="276" spans="1:45" s="1" customFormat="1" x14ac:dyDescent="0.25">
      <c r="A276" s="2" t="s">
        <v>492</v>
      </c>
      <c r="B276" s="259" t="s">
        <v>493</v>
      </c>
      <c r="C276" s="261">
        <v>3186640</v>
      </c>
      <c r="D276" s="261">
        <v>0</v>
      </c>
      <c r="E276" s="261">
        <v>0</v>
      </c>
      <c r="F276" s="261">
        <v>0</v>
      </c>
      <c r="G276" s="261">
        <f>+C276+D276-E276+F276</f>
        <v>3186640</v>
      </c>
      <c r="H276" s="261">
        <v>0</v>
      </c>
      <c r="I276" s="261">
        <v>750000</v>
      </c>
      <c r="J276" s="261">
        <f t="shared" si="132"/>
        <v>2436640</v>
      </c>
      <c r="K276" s="261">
        <v>0</v>
      </c>
      <c r="L276" s="261">
        <v>250000</v>
      </c>
      <c r="M276" s="261">
        <f>+I276-L276</f>
        <v>500000</v>
      </c>
      <c r="N276" s="261">
        <v>0</v>
      </c>
      <c r="O276" s="261">
        <v>750000</v>
      </c>
      <c r="P276" s="261">
        <f>+O276-I276</f>
        <v>0</v>
      </c>
      <c r="Q276" s="177">
        <f t="shared" si="133"/>
        <v>2436640</v>
      </c>
      <c r="R276" s="261">
        <f>+L276</f>
        <v>250000</v>
      </c>
      <c r="S276" s="257"/>
      <c r="T276" s="183" t="s">
        <v>492</v>
      </c>
      <c r="U276" s="259" t="s">
        <v>493</v>
      </c>
      <c r="V276" s="261">
        <v>3186640</v>
      </c>
      <c r="W276" s="261">
        <v>0</v>
      </c>
      <c r="X276" s="261">
        <v>0</v>
      </c>
      <c r="Y276" s="261">
        <v>0</v>
      </c>
      <c r="Z276" s="261">
        <v>3186640</v>
      </c>
      <c r="AA276" s="261">
        <v>0</v>
      </c>
      <c r="AB276" s="261">
        <v>750000</v>
      </c>
      <c r="AC276" s="261">
        <v>2436640</v>
      </c>
      <c r="AD276" s="261">
        <v>0</v>
      </c>
      <c r="AE276" s="261">
        <v>250000</v>
      </c>
      <c r="AF276" s="261">
        <v>500000</v>
      </c>
      <c r="AG276" s="261">
        <v>0</v>
      </c>
      <c r="AH276" s="261">
        <v>750000</v>
      </c>
      <c r="AI276" s="261">
        <v>0</v>
      </c>
      <c r="AJ276" s="261">
        <v>2436640</v>
      </c>
      <c r="AK276" s="261">
        <v>0</v>
      </c>
      <c r="AL276" s="261">
        <v>0</v>
      </c>
      <c r="AM276" s="261">
        <v>750000</v>
      </c>
      <c r="AN276" s="261">
        <v>750000</v>
      </c>
      <c r="AO276" s="261">
        <v>0</v>
      </c>
      <c r="AP276" s="261">
        <v>2436640</v>
      </c>
      <c r="AQ276" s="261"/>
      <c r="AS276" s="261"/>
    </row>
    <row r="277" spans="1:45" x14ac:dyDescent="0.25">
      <c r="A277" s="2" t="s">
        <v>494</v>
      </c>
      <c r="B277" s="259" t="s">
        <v>495</v>
      </c>
      <c r="C277" s="261">
        <v>46365439</v>
      </c>
      <c r="D277" s="261">
        <v>0</v>
      </c>
      <c r="E277" s="261">
        <v>0</v>
      </c>
      <c r="F277" s="261">
        <v>0</v>
      </c>
      <c r="G277" s="261">
        <f>+C277+D277-E277+F277</f>
        <v>46365439</v>
      </c>
      <c r="H277" s="261">
        <v>2097840</v>
      </c>
      <c r="I277" s="261">
        <v>25478382</v>
      </c>
      <c r="J277" s="261">
        <f t="shared" si="132"/>
        <v>20887057</v>
      </c>
      <c r="K277" s="261">
        <v>2097840</v>
      </c>
      <c r="L277" s="261">
        <v>2097840</v>
      </c>
      <c r="M277" s="261">
        <f>+I277-L277</f>
        <v>23380542</v>
      </c>
      <c r="N277" s="261">
        <v>2897840</v>
      </c>
      <c r="O277" s="261">
        <v>26297840</v>
      </c>
      <c r="P277" s="261">
        <f>+O277-I277</f>
        <v>819458</v>
      </c>
      <c r="Q277" s="177">
        <f t="shared" si="133"/>
        <v>20067599</v>
      </c>
      <c r="R277" s="261">
        <f>+L277</f>
        <v>2097840</v>
      </c>
      <c r="T277" s="183" t="s">
        <v>494</v>
      </c>
      <c r="U277" s="259" t="s">
        <v>495</v>
      </c>
      <c r="V277" s="261">
        <v>46365439</v>
      </c>
      <c r="W277" s="261">
        <v>0</v>
      </c>
      <c r="X277" s="261">
        <v>0</v>
      </c>
      <c r="Y277" s="261">
        <v>0</v>
      </c>
      <c r="Z277" s="261">
        <v>46365439</v>
      </c>
      <c r="AA277" s="261">
        <v>2097840</v>
      </c>
      <c r="AB277" s="261">
        <v>25478382</v>
      </c>
      <c r="AC277" s="261">
        <v>20887057</v>
      </c>
      <c r="AD277" s="261">
        <v>2097840</v>
      </c>
      <c r="AE277" s="261">
        <v>2097840</v>
      </c>
      <c r="AF277" s="261">
        <v>23380542</v>
      </c>
      <c r="AG277" s="261">
        <v>2897840</v>
      </c>
      <c r="AH277" s="261">
        <v>26297840</v>
      </c>
      <c r="AI277" s="261">
        <v>819458</v>
      </c>
      <c r="AJ277" s="261">
        <v>20067599</v>
      </c>
      <c r="AK277" s="261">
        <v>0</v>
      </c>
      <c r="AL277" s="261">
        <v>2897840</v>
      </c>
      <c r="AM277" s="261">
        <v>26297840</v>
      </c>
      <c r="AN277" s="261">
        <v>26297840</v>
      </c>
      <c r="AO277" s="261">
        <v>819458</v>
      </c>
      <c r="AP277" s="261">
        <v>20067599</v>
      </c>
      <c r="AQ277" s="261"/>
      <c r="AS277" s="261"/>
    </row>
    <row r="278" spans="1:45" x14ac:dyDescent="0.25">
      <c r="A278" s="7" t="s">
        <v>1177</v>
      </c>
      <c r="B278" s="8" t="s">
        <v>1178</v>
      </c>
      <c r="C278" s="9">
        <f>+C279</f>
        <v>0</v>
      </c>
      <c r="D278" s="9">
        <f t="shared" ref="D278:R278" si="139">+D279</f>
        <v>82000000</v>
      </c>
      <c r="E278" s="9">
        <f t="shared" si="139"/>
        <v>0</v>
      </c>
      <c r="F278" s="9">
        <f t="shared" si="139"/>
        <v>0</v>
      </c>
      <c r="G278" s="9">
        <f t="shared" si="139"/>
        <v>82000000</v>
      </c>
      <c r="H278" s="9">
        <f t="shared" si="139"/>
        <v>0</v>
      </c>
      <c r="I278" s="9">
        <f t="shared" si="139"/>
        <v>1500000</v>
      </c>
      <c r="J278" s="9">
        <f t="shared" si="132"/>
        <v>80500000</v>
      </c>
      <c r="K278" s="9">
        <f t="shared" si="139"/>
        <v>0</v>
      </c>
      <c r="L278" s="9">
        <f t="shared" si="139"/>
        <v>0</v>
      </c>
      <c r="M278" s="9">
        <f t="shared" si="139"/>
        <v>1500000</v>
      </c>
      <c r="N278" s="9">
        <f t="shared" si="139"/>
        <v>0</v>
      </c>
      <c r="O278" s="9">
        <f t="shared" si="139"/>
        <v>1500000</v>
      </c>
      <c r="P278" s="9">
        <f t="shared" si="139"/>
        <v>0</v>
      </c>
      <c r="Q278" s="9">
        <f t="shared" si="133"/>
        <v>80500000</v>
      </c>
      <c r="R278" s="9">
        <f t="shared" si="139"/>
        <v>0</v>
      </c>
      <c r="S278" s="1"/>
      <c r="T278" s="183" t="s">
        <v>1177</v>
      </c>
      <c r="U278" s="259" t="s">
        <v>1178</v>
      </c>
      <c r="V278" s="261">
        <v>0</v>
      </c>
      <c r="W278" s="261">
        <v>82000000</v>
      </c>
      <c r="X278" s="261">
        <v>0</v>
      </c>
      <c r="Y278" s="261">
        <v>0</v>
      </c>
      <c r="Z278" s="261">
        <v>82000000</v>
      </c>
      <c r="AA278" s="261">
        <v>0</v>
      </c>
      <c r="AB278" s="261">
        <v>1500000</v>
      </c>
      <c r="AC278" s="261">
        <v>80500000</v>
      </c>
      <c r="AD278" s="261">
        <v>0</v>
      </c>
      <c r="AE278" s="261">
        <v>0</v>
      </c>
      <c r="AF278" s="261">
        <v>1500000</v>
      </c>
      <c r="AG278" s="261">
        <v>0</v>
      </c>
      <c r="AH278" s="261">
        <v>1500000</v>
      </c>
      <c r="AI278" s="261">
        <v>0</v>
      </c>
      <c r="AJ278" s="261">
        <v>80500000</v>
      </c>
      <c r="AK278" s="261">
        <v>0</v>
      </c>
      <c r="AL278" s="261">
        <v>0</v>
      </c>
      <c r="AM278" s="261">
        <v>1500000</v>
      </c>
      <c r="AN278" s="261">
        <v>1500000</v>
      </c>
      <c r="AO278" s="261">
        <v>0</v>
      </c>
      <c r="AP278" s="261">
        <v>80500000</v>
      </c>
      <c r="AQ278" s="9"/>
      <c r="AS278" s="9"/>
    </row>
    <row r="279" spans="1:45" s="1" customFormat="1" x14ac:dyDescent="0.25">
      <c r="A279" s="183" t="s">
        <v>1179</v>
      </c>
      <c r="B279" s="259" t="s">
        <v>1180</v>
      </c>
      <c r="C279" s="261"/>
      <c r="D279" s="261">
        <v>82000000</v>
      </c>
      <c r="E279" s="261"/>
      <c r="F279" s="261"/>
      <c r="G279" s="261">
        <f>+C279+D279-E279+F279</f>
        <v>82000000</v>
      </c>
      <c r="H279" s="261">
        <v>0</v>
      </c>
      <c r="I279" s="261">
        <v>1500000</v>
      </c>
      <c r="J279" s="261">
        <f t="shared" si="132"/>
        <v>80500000</v>
      </c>
      <c r="K279" s="261">
        <v>0</v>
      </c>
      <c r="L279" s="261">
        <v>0</v>
      </c>
      <c r="M279" s="261">
        <f>+I279-L279</f>
        <v>1500000</v>
      </c>
      <c r="N279" s="261">
        <v>0</v>
      </c>
      <c r="O279" s="261">
        <v>1500000</v>
      </c>
      <c r="P279" s="261">
        <f>+O279-I279</f>
        <v>0</v>
      </c>
      <c r="Q279" s="177">
        <f t="shared" si="133"/>
        <v>80500000</v>
      </c>
      <c r="R279" s="261">
        <f>+L279</f>
        <v>0</v>
      </c>
      <c r="S279" s="257"/>
      <c r="T279" s="183" t="s">
        <v>1179</v>
      </c>
      <c r="U279" s="259" t="s">
        <v>1180</v>
      </c>
      <c r="V279" s="261">
        <v>0</v>
      </c>
      <c r="W279" s="261">
        <v>82000000</v>
      </c>
      <c r="X279" s="261">
        <v>0</v>
      </c>
      <c r="Y279" s="261">
        <v>0</v>
      </c>
      <c r="Z279" s="261">
        <v>82000000</v>
      </c>
      <c r="AA279" s="261">
        <v>0</v>
      </c>
      <c r="AB279" s="261">
        <v>1500000</v>
      </c>
      <c r="AC279" s="261">
        <v>80500000</v>
      </c>
      <c r="AD279" s="261">
        <v>0</v>
      </c>
      <c r="AE279" s="261">
        <v>0</v>
      </c>
      <c r="AF279" s="261">
        <v>1500000</v>
      </c>
      <c r="AG279" s="261">
        <v>0</v>
      </c>
      <c r="AH279" s="261">
        <v>1500000</v>
      </c>
      <c r="AI279" s="261">
        <v>0</v>
      </c>
      <c r="AJ279" s="261">
        <v>80500000</v>
      </c>
      <c r="AK279" s="261">
        <v>0</v>
      </c>
      <c r="AL279" s="261">
        <v>0</v>
      </c>
      <c r="AM279" s="261">
        <v>1500000</v>
      </c>
      <c r="AN279" s="261">
        <v>1500000</v>
      </c>
      <c r="AO279" s="261">
        <v>0</v>
      </c>
      <c r="AP279" s="261">
        <v>80500000</v>
      </c>
      <c r="AQ279" s="261"/>
      <c r="AS279" s="261"/>
    </row>
    <row r="280" spans="1:45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 t="shared" ref="D280:R280" si="140">+D281</f>
        <v>100000000</v>
      </c>
      <c r="E280" s="9">
        <f t="shared" si="140"/>
        <v>0</v>
      </c>
      <c r="F280" s="9">
        <f t="shared" si="140"/>
        <v>0</v>
      </c>
      <c r="G280" s="9">
        <f t="shared" si="140"/>
        <v>293318652</v>
      </c>
      <c r="H280" s="9">
        <f t="shared" si="140"/>
        <v>61498565</v>
      </c>
      <c r="I280" s="9">
        <f t="shared" si="140"/>
        <v>200288974</v>
      </c>
      <c r="J280" s="9">
        <f t="shared" si="132"/>
        <v>93029678</v>
      </c>
      <c r="K280" s="9">
        <f t="shared" si="140"/>
        <v>54370902</v>
      </c>
      <c r="L280" s="9">
        <f t="shared" si="140"/>
        <v>187130031</v>
      </c>
      <c r="M280" s="9">
        <f t="shared" si="140"/>
        <v>13158943</v>
      </c>
      <c r="N280" s="9">
        <f t="shared" si="140"/>
        <v>60741297</v>
      </c>
      <c r="O280" s="9">
        <f t="shared" si="140"/>
        <v>210290625</v>
      </c>
      <c r="P280" s="9">
        <f t="shared" si="140"/>
        <v>10001651</v>
      </c>
      <c r="Q280" s="9">
        <f t="shared" si="133"/>
        <v>83028027</v>
      </c>
      <c r="R280" s="9">
        <f t="shared" si="140"/>
        <v>187130031</v>
      </c>
      <c r="T280" s="183"/>
      <c r="U280" s="259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9"/>
      <c r="AS280" s="9"/>
    </row>
    <row r="281" spans="1:45" s="1" customFormat="1" x14ac:dyDescent="0.25">
      <c r="A281" s="2" t="s">
        <v>497</v>
      </c>
      <c r="B281" s="259" t="s">
        <v>91</v>
      </c>
      <c r="C281" s="261">
        <v>193318652</v>
      </c>
      <c r="D281" s="261">
        <v>100000000</v>
      </c>
      <c r="E281" s="261">
        <v>0</v>
      </c>
      <c r="F281" s="261">
        <v>0</v>
      </c>
      <c r="G281" s="261">
        <f>+C281+D281-E281+F281</f>
        <v>293318652</v>
      </c>
      <c r="H281" s="261">
        <v>61498565</v>
      </c>
      <c r="I281" s="261">
        <v>200288974</v>
      </c>
      <c r="J281" s="261">
        <f t="shared" si="132"/>
        <v>93029678</v>
      </c>
      <c r="K281" s="261">
        <v>54370902</v>
      </c>
      <c r="L281" s="261">
        <v>187130031</v>
      </c>
      <c r="M281" s="261">
        <f>+I281-L281</f>
        <v>13158943</v>
      </c>
      <c r="N281" s="261">
        <v>60741297</v>
      </c>
      <c r="O281" s="261">
        <v>210290625</v>
      </c>
      <c r="P281" s="261">
        <f>+O281-I281</f>
        <v>10001651</v>
      </c>
      <c r="Q281" s="177">
        <f t="shared" si="133"/>
        <v>83028027</v>
      </c>
      <c r="R281" s="261">
        <f>+L281</f>
        <v>187130031</v>
      </c>
      <c r="S281" s="257"/>
      <c r="T281" s="183" t="s">
        <v>497</v>
      </c>
      <c r="U281" s="259" t="s">
        <v>91</v>
      </c>
      <c r="V281" s="261">
        <v>193318652</v>
      </c>
      <c r="W281" s="261">
        <v>100000000</v>
      </c>
      <c r="X281" s="261">
        <v>0</v>
      </c>
      <c r="Y281" s="261">
        <v>0</v>
      </c>
      <c r="Z281" s="261">
        <v>293318652</v>
      </c>
      <c r="AA281" s="261">
        <v>61498565</v>
      </c>
      <c r="AB281" s="261">
        <v>200288974</v>
      </c>
      <c r="AC281" s="261">
        <v>93029678</v>
      </c>
      <c r="AD281" s="261">
        <v>54370902</v>
      </c>
      <c r="AE281" s="261">
        <v>187130031</v>
      </c>
      <c r="AF281" s="261">
        <v>26836261</v>
      </c>
      <c r="AG281" s="261">
        <v>60741297</v>
      </c>
      <c r="AH281" s="261">
        <v>210290625</v>
      </c>
      <c r="AI281" s="261">
        <v>10001651</v>
      </c>
      <c r="AJ281" s="261">
        <v>83028027</v>
      </c>
      <c r="AK281" s="261"/>
      <c r="AL281" s="261"/>
      <c r="AM281" s="261"/>
      <c r="AN281" s="261"/>
      <c r="AO281" s="261"/>
      <c r="AP281" s="261"/>
      <c r="AQ281" s="261"/>
      <c r="AS281" s="261"/>
    </row>
    <row r="282" spans="1:45" x14ac:dyDescent="0.25">
      <c r="A282" s="4" t="s">
        <v>498</v>
      </c>
      <c r="B282" s="5" t="s">
        <v>499</v>
      </c>
      <c r="C282" s="6">
        <f>+C283+C287</f>
        <v>194701090</v>
      </c>
      <c r="D282" s="6">
        <f t="shared" ref="D282:R282" si="141">+D283+D287</f>
        <v>0</v>
      </c>
      <c r="E282" s="6">
        <f t="shared" si="141"/>
        <v>0</v>
      </c>
      <c r="F282" s="6">
        <f t="shared" si="141"/>
        <v>0</v>
      </c>
      <c r="G282" s="6">
        <f t="shared" si="141"/>
        <v>194701090</v>
      </c>
      <c r="H282" s="6">
        <f t="shared" si="141"/>
        <v>27500000</v>
      </c>
      <c r="I282" s="6">
        <f t="shared" si="141"/>
        <v>175564651</v>
      </c>
      <c r="J282" s="6">
        <f t="shared" si="132"/>
        <v>19136439</v>
      </c>
      <c r="K282" s="6">
        <f t="shared" si="141"/>
        <v>2000000</v>
      </c>
      <c r="L282" s="6">
        <f t="shared" si="141"/>
        <v>152536914</v>
      </c>
      <c r="M282" s="6">
        <f t="shared" si="141"/>
        <v>23027737</v>
      </c>
      <c r="N282" s="6">
        <f t="shared" si="141"/>
        <v>27500000</v>
      </c>
      <c r="O282" s="6">
        <f t="shared" si="141"/>
        <v>176903485</v>
      </c>
      <c r="P282" s="6">
        <f t="shared" si="141"/>
        <v>1338834</v>
      </c>
      <c r="Q282" s="6">
        <f t="shared" si="133"/>
        <v>17797605</v>
      </c>
      <c r="R282" s="6">
        <f t="shared" si="141"/>
        <v>152536914</v>
      </c>
      <c r="S282" s="1"/>
      <c r="T282" s="183" t="s">
        <v>498</v>
      </c>
      <c r="U282" s="259" t="s">
        <v>499</v>
      </c>
      <c r="V282" s="261">
        <v>194701090</v>
      </c>
      <c r="W282" s="261">
        <v>0</v>
      </c>
      <c r="X282" s="261">
        <v>0</v>
      </c>
      <c r="Y282" s="261">
        <v>0</v>
      </c>
      <c r="Z282" s="261">
        <v>194701090</v>
      </c>
      <c r="AA282" s="261">
        <v>27500000</v>
      </c>
      <c r="AB282" s="261">
        <v>175564651</v>
      </c>
      <c r="AC282" s="261">
        <v>19136439</v>
      </c>
      <c r="AD282" s="261">
        <v>2000000</v>
      </c>
      <c r="AE282" s="261">
        <v>152536914</v>
      </c>
      <c r="AF282" s="261">
        <v>23027737</v>
      </c>
      <c r="AG282" s="261">
        <v>27500000</v>
      </c>
      <c r="AH282" s="261">
        <v>176903485</v>
      </c>
      <c r="AI282" s="261">
        <v>1338834</v>
      </c>
      <c r="AJ282" s="261">
        <v>17797605</v>
      </c>
      <c r="AK282" s="261">
        <v>12092620</v>
      </c>
      <c r="AL282" s="261">
        <v>30240572</v>
      </c>
      <c r="AM282" s="261">
        <v>193895330</v>
      </c>
      <c r="AN282" s="261">
        <v>181802710</v>
      </c>
      <c r="AO282" s="261">
        <v>10190968</v>
      </c>
      <c r="AP282" s="261">
        <v>111515942</v>
      </c>
      <c r="AQ282" s="6"/>
      <c r="AS282" s="6"/>
    </row>
    <row r="283" spans="1:45" s="1" customFormat="1" x14ac:dyDescent="0.25">
      <c r="A283" s="4" t="s">
        <v>500</v>
      </c>
      <c r="B283" s="5" t="s">
        <v>501</v>
      </c>
      <c r="C283" s="6">
        <f>+C284</f>
        <v>182701090</v>
      </c>
      <c r="D283" s="6">
        <f t="shared" ref="D283:R285" si="142">+D284</f>
        <v>0</v>
      </c>
      <c r="E283" s="6">
        <f t="shared" si="142"/>
        <v>0</v>
      </c>
      <c r="F283" s="6">
        <f t="shared" si="142"/>
        <v>0</v>
      </c>
      <c r="G283" s="6">
        <f t="shared" si="142"/>
        <v>182701090</v>
      </c>
      <c r="H283" s="6">
        <f t="shared" si="142"/>
        <v>27500000</v>
      </c>
      <c r="I283" s="6">
        <f t="shared" si="142"/>
        <v>175564651</v>
      </c>
      <c r="J283" s="6">
        <f t="shared" si="132"/>
        <v>7136439</v>
      </c>
      <c r="K283" s="6">
        <f t="shared" si="142"/>
        <v>2000000</v>
      </c>
      <c r="L283" s="6">
        <f t="shared" si="142"/>
        <v>152536914</v>
      </c>
      <c r="M283" s="6">
        <f t="shared" si="142"/>
        <v>23027737</v>
      </c>
      <c r="N283" s="6">
        <f t="shared" si="142"/>
        <v>27500000</v>
      </c>
      <c r="O283" s="6">
        <f t="shared" si="142"/>
        <v>176903485</v>
      </c>
      <c r="P283" s="6">
        <f t="shared" si="142"/>
        <v>1338834</v>
      </c>
      <c r="Q283" s="6">
        <f t="shared" si="133"/>
        <v>5797605</v>
      </c>
      <c r="R283" s="6">
        <f t="shared" si="142"/>
        <v>152536914</v>
      </c>
      <c r="T283" s="183" t="s">
        <v>500</v>
      </c>
      <c r="U283" s="259" t="s">
        <v>501</v>
      </c>
      <c r="V283" s="261">
        <v>182701090</v>
      </c>
      <c r="W283" s="261">
        <v>0</v>
      </c>
      <c r="X283" s="261">
        <v>0</v>
      </c>
      <c r="Y283" s="261">
        <v>0</v>
      </c>
      <c r="Z283" s="261">
        <v>182701090</v>
      </c>
      <c r="AA283" s="261">
        <v>27500000</v>
      </c>
      <c r="AB283" s="261">
        <v>175564651</v>
      </c>
      <c r="AC283" s="261">
        <v>7136439</v>
      </c>
      <c r="AD283" s="261">
        <v>2000000</v>
      </c>
      <c r="AE283" s="261">
        <v>152536914</v>
      </c>
      <c r="AF283" s="261">
        <v>23027737</v>
      </c>
      <c r="AG283" s="261">
        <v>27500000</v>
      </c>
      <c r="AH283" s="261">
        <v>176903485</v>
      </c>
      <c r="AI283" s="261">
        <v>1338834</v>
      </c>
      <c r="AJ283" s="261">
        <v>5797605</v>
      </c>
      <c r="AK283" s="261">
        <v>0</v>
      </c>
      <c r="AL283" s="261">
        <v>27500000</v>
      </c>
      <c r="AM283" s="261">
        <v>176903485</v>
      </c>
      <c r="AN283" s="261">
        <v>176903485</v>
      </c>
      <c r="AO283" s="261">
        <v>1338834</v>
      </c>
      <c r="AP283" s="261">
        <v>17797605</v>
      </c>
      <c r="AQ283" s="6"/>
      <c r="AS283" s="6"/>
    </row>
    <row r="284" spans="1:45" s="1" customFormat="1" x14ac:dyDescent="0.25">
      <c r="A284" s="4" t="s">
        <v>502</v>
      </c>
      <c r="B284" s="5" t="s">
        <v>503</v>
      </c>
      <c r="C284" s="6">
        <f>+C285</f>
        <v>182701090</v>
      </c>
      <c r="D284" s="6">
        <f t="shared" si="142"/>
        <v>0</v>
      </c>
      <c r="E284" s="6">
        <f t="shared" si="142"/>
        <v>0</v>
      </c>
      <c r="F284" s="6">
        <f t="shared" si="142"/>
        <v>0</v>
      </c>
      <c r="G284" s="6">
        <f t="shared" si="142"/>
        <v>182701090</v>
      </c>
      <c r="H284" s="6">
        <f t="shared" si="142"/>
        <v>27500000</v>
      </c>
      <c r="I284" s="6">
        <f t="shared" si="142"/>
        <v>175564651</v>
      </c>
      <c r="J284" s="6">
        <f t="shared" si="132"/>
        <v>7136439</v>
      </c>
      <c r="K284" s="6">
        <f t="shared" si="142"/>
        <v>2000000</v>
      </c>
      <c r="L284" s="6">
        <f t="shared" si="142"/>
        <v>152536914</v>
      </c>
      <c r="M284" s="6">
        <f t="shared" si="142"/>
        <v>23027737</v>
      </c>
      <c r="N284" s="6">
        <f t="shared" si="142"/>
        <v>27500000</v>
      </c>
      <c r="O284" s="6">
        <f t="shared" si="142"/>
        <v>176903485</v>
      </c>
      <c r="P284" s="6">
        <f t="shared" si="142"/>
        <v>1338834</v>
      </c>
      <c r="Q284" s="6">
        <f t="shared" si="133"/>
        <v>5797605</v>
      </c>
      <c r="R284" s="6">
        <f t="shared" si="142"/>
        <v>152536914</v>
      </c>
      <c r="T284" s="183" t="s">
        <v>502</v>
      </c>
      <c r="U284" s="259" t="s">
        <v>503</v>
      </c>
      <c r="V284" s="261">
        <v>182701090</v>
      </c>
      <c r="W284" s="261">
        <v>0</v>
      </c>
      <c r="X284" s="261">
        <v>0</v>
      </c>
      <c r="Y284" s="261">
        <v>0</v>
      </c>
      <c r="Z284" s="261">
        <v>182701090</v>
      </c>
      <c r="AA284" s="261">
        <v>27500000</v>
      </c>
      <c r="AB284" s="261">
        <v>175564651</v>
      </c>
      <c r="AC284" s="261">
        <v>7136439</v>
      </c>
      <c r="AD284" s="261">
        <v>2000000</v>
      </c>
      <c r="AE284" s="261">
        <v>152536914</v>
      </c>
      <c r="AF284" s="261">
        <v>23027737</v>
      </c>
      <c r="AG284" s="261">
        <v>27500000</v>
      </c>
      <c r="AH284" s="261">
        <v>176903485</v>
      </c>
      <c r="AI284" s="261">
        <v>1338834</v>
      </c>
      <c r="AJ284" s="261">
        <v>5797605</v>
      </c>
      <c r="AK284" s="261">
        <v>0</v>
      </c>
      <c r="AL284" s="261">
        <v>27500000</v>
      </c>
      <c r="AM284" s="261">
        <v>176903485</v>
      </c>
      <c r="AN284" s="261">
        <v>176903485</v>
      </c>
      <c r="AO284" s="261">
        <v>1338834</v>
      </c>
      <c r="AP284" s="261">
        <v>5797605</v>
      </c>
      <c r="AQ284" s="6"/>
      <c r="AS284" s="6"/>
    </row>
    <row r="285" spans="1:45" s="1" customFormat="1" x14ac:dyDescent="0.25">
      <c r="A285" s="7" t="s">
        <v>504</v>
      </c>
      <c r="B285" s="8" t="s">
        <v>503</v>
      </c>
      <c r="C285" s="9">
        <f>+C286</f>
        <v>182701090</v>
      </c>
      <c r="D285" s="9">
        <f t="shared" si="142"/>
        <v>0</v>
      </c>
      <c r="E285" s="9">
        <f t="shared" si="142"/>
        <v>0</v>
      </c>
      <c r="F285" s="9">
        <f t="shared" si="142"/>
        <v>0</v>
      </c>
      <c r="G285" s="9">
        <f t="shared" si="142"/>
        <v>182701090</v>
      </c>
      <c r="H285" s="9">
        <f t="shared" si="142"/>
        <v>27500000</v>
      </c>
      <c r="I285" s="9">
        <f t="shared" si="142"/>
        <v>175564651</v>
      </c>
      <c r="J285" s="9">
        <f t="shared" si="132"/>
        <v>7136439</v>
      </c>
      <c r="K285" s="9">
        <f t="shared" si="142"/>
        <v>2000000</v>
      </c>
      <c r="L285" s="9">
        <f t="shared" si="142"/>
        <v>152536914</v>
      </c>
      <c r="M285" s="9">
        <f t="shared" si="142"/>
        <v>23027737</v>
      </c>
      <c r="N285" s="9">
        <f t="shared" si="142"/>
        <v>27500000</v>
      </c>
      <c r="O285" s="9">
        <f t="shared" si="142"/>
        <v>176903485</v>
      </c>
      <c r="P285" s="9">
        <f t="shared" si="142"/>
        <v>1338834</v>
      </c>
      <c r="Q285" s="9">
        <f t="shared" si="133"/>
        <v>5797605</v>
      </c>
      <c r="R285" s="9">
        <f t="shared" si="142"/>
        <v>152536914</v>
      </c>
      <c r="T285" s="183" t="s">
        <v>504</v>
      </c>
      <c r="U285" s="259" t="s">
        <v>503</v>
      </c>
      <c r="V285" s="261">
        <v>182701090</v>
      </c>
      <c r="W285" s="261">
        <v>0</v>
      </c>
      <c r="X285" s="261">
        <v>0</v>
      </c>
      <c r="Y285" s="261">
        <v>0</v>
      </c>
      <c r="Z285" s="261">
        <v>182701090</v>
      </c>
      <c r="AA285" s="261">
        <v>27500000</v>
      </c>
      <c r="AB285" s="261">
        <v>175564651</v>
      </c>
      <c r="AC285" s="261">
        <v>7136439</v>
      </c>
      <c r="AD285" s="261">
        <v>2000000</v>
      </c>
      <c r="AE285" s="261">
        <v>152536914</v>
      </c>
      <c r="AF285" s="261">
        <v>23027737</v>
      </c>
      <c r="AG285" s="261">
        <v>27500000</v>
      </c>
      <c r="AH285" s="261">
        <v>176903485</v>
      </c>
      <c r="AI285" s="261">
        <v>1338834</v>
      </c>
      <c r="AJ285" s="261">
        <v>5797605</v>
      </c>
      <c r="AK285" s="261">
        <v>0</v>
      </c>
      <c r="AL285" s="261">
        <v>27500000</v>
      </c>
      <c r="AM285" s="261">
        <v>176903485</v>
      </c>
      <c r="AN285" s="261">
        <v>176903485</v>
      </c>
      <c r="AO285" s="261">
        <v>1338834</v>
      </c>
      <c r="AP285" s="261">
        <v>5797605</v>
      </c>
      <c r="AQ285" s="9"/>
      <c r="AS285" s="9"/>
    </row>
    <row r="286" spans="1:45" x14ac:dyDescent="0.25">
      <c r="A286" s="2" t="s">
        <v>505</v>
      </c>
      <c r="B286" s="259" t="s">
        <v>503</v>
      </c>
      <c r="C286" s="261">
        <v>182701090</v>
      </c>
      <c r="D286" s="261">
        <v>0</v>
      </c>
      <c r="E286" s="261">
        <v>0</v>
      </c>
      <c r="F286" s="261">
        <v>0</v>
      </c>
      <c r="G286" s="261">
        <f>+C286+D286-E286+F286</f>
        <v>182701090</v>
      </c>
      <c r="H286" s="261">
        <v>27500000</v>
      </c>
      <c r="I286" s="261">
        <v>175564651</v>
      </c>
      <c r="J286" s="261">
        <f t="shared" si="132"/>
        <v>7136439</v>
      </c>
      <c r="K286" s="261">
        <v>2000000</v>
      </c>
      <c r="L286" s="261">
        <v>152536914</v>
      </c>
      <c r="M286" s="261">
        <f>+I286-L286</f>
        <v>23027737</v>
      </c>
      <c r="N286" s="261">
        <v>27500000</v>
      </c>
      <c r="O286" s="261">
        <v>176903485</v>
      </c>
      <c r="P286" s="261">
        <f>+O286-I286</f>
        <v>1338834</v>
      </c>
      <c r="Q286" s="177">
        <f t="shared" si="133"/>
        <v>5797605</v>
      </c>
      <c r="R286" s="261">
        <f>+L286</f>
        <v>152536914</v>
      </c>
      <c r="T286" s="183" t="s">
        <v>505</v>
      </c>
      <c r="U286" s="259" t="s">
        <v>503</v>
      </c>
      <c r="V286" s="261">
        <v>182701090</v>
      </c>
      <c r="W286" s="261">
        <v>0</v>
      </c>
      <c r="X286" s="261">
        <v>0</v>
      </c>
      <c r="Y286" s="261">
        <v>0</v>
      </c>
      <c r="Z286" s="261">
        <v>182701090</v>
      </c>
      <c r="AA286" s="261">
        <v>27500000</v>
      </c>
      <c r="AB286" s="261">
        <v>175564651</v>
      </c>
      <c r="AC286" s="261">
        <v>7136439</v>
      </c>
      <c r="AD286" s="261">
        <v>2000000</v>
      </c>
      <c r="AE286" s="261">
        <v>152536914</v>
      </c>
      <c r="AF286" s="261">
        <v>23027737</v>
      </c>
      <c r="AG286" s="261">
        <v>27500000</v>
      </c>
      <c r="AH286" s="261">
        <v>176903485</v>
      </c>
      <c r="AI286" s="261">
        <v>1338834</v>
      </c>
      <c r="AJ286" s="261">
        <v>5797605</v>
      </c>
      <c r="AK286" s="261">
        <v>0</v>
      </c>
      <c r="AL286" s="261">
        <v>27500000</v>
      </c>
      <c r="AM286" s="261">
        <v>176903485</v>
      </c>
      <c r="AN286" s="261">
        <v>176903485</v>
      </c>
      <c r="AO286" s="261">
        <v>1338834</v>
      </c>
      <c r="AP286" s="261">
        <v>5797605</v>
      </c>
      <c r="AQ286" s="261"/>
      <c r="AS286" s="261"/>
    </row>
    <row r="287" spans="1:45" s="1" customFormat="1" x14ac:dyDescent="0.25">
      <c r="A287" s="4" t="s">
        <v>506</v>
      </c>
      <c r="B287" s="5" t="s">
        <v>507</v>
      </c>
      <c r="C287" s="6">
        <f>+C288</f>
        <v>12000000</v>
      </c>
      <c r="D287" s="6">
        <f t="shared" ref="D287:R289" si="143">+D288</f>
        <v>0</v>
      </c>
      <c r="E287" s="6">
        <f t="shared" si="143"/>
        <v>0</v>
      </c>
      <c r="F287" s="6">
        <f t="shared" si="143"/>
        <v>0</v>
      </c>
      <c r="G287" s="6">
        <f t="shared" si="143"/>
        <v>12000000</v>
      </c>
      <c r="H287" s="6">
        <f t="shared" si="143"/>
        <v>0</v>
      </c>
      <c r="I287" s="6">
        <f t="shared" si="143"/>
        <v>0</v>
      </c>
      <c r="J287" s="6">
        <f t="shared" si="132"/>
        <v>12000000</v>
      </c>
      <c r="K287" s="6">
        <f t="shared" si="143"/>
        <v>0</v>
      </c>
      <c r="L287" s="6">
        <f t="shared" si="143"/>
        <v>0</v>
      </c>
      <c r="M287" s="6">
        <f t="shared" si="143"/>
        <v>0</v>
      </c>
      <c r="N287" s="6">
        <f t="shared" si="143"/>
        <v>0</v>
      </c>
      <c r="O287" s="6">
        <f t="shared" si="143"/>
        <v>0</v>
      </c>
      <c r="P287" s="6">
        <f t="shared" si="143"/>
        <v>0</v>
      </c>
      <c r="Q287" s="6">
        <f t="shared" si="133"/>
        <v>12000000</v>
      </c>
      <c r="R287" s="6">
        <f t="shared" si="143"/>
        <v>0</v>
      </c>
      <c r="T287" s="183" t="s">
        <v>506</v>
      </c>
      <c r="U287" s="259" t="s">
        <v>507</v>
      </c>
      <c r="V287" s="261">
        <v>12000000</v>
      </c>
      <c r="W287" s="261">
        <v>0</v>
      </c>
      <c r="X287" s="261">
        <v>0</v>
      </c>
      <c r="Y287" s="261">
        <v>0</v>
      </c>
      <c r="Z287" s="261">
        <v>12000000</v>
      </c>
      <c r="AA287" s="261">
        <v>0</v>
      </c>
      <c r="AB287" s="261">
        <v>0</v>
      </c>
      <c r="AC287" s="261">
        <v>12000000</v>
      </c>
      <c r="AD287" s="261">
        <v>0</v>
      </c>
      <c r="AE287" s="261">
        <v>0</v>
      </c>
      <c r="AF287" s="261">
        <v>0</v>
      </c>
      <c r="AG287" s="261">
        <v>0</v>
      </c>
      <c r="AH287" s="261">
        <v>0</v>
      </c>
      <c r="AI287" s="261">
        <v>0</v>
      </c>
      <c r="AJ287" s="261">
        <v>12000000</v>
      </c>
      <c r="AK287" s="261">
        <v>0</v>
      </c>
      <c r="AL287" s="261">
        <v>27500000</v>
      </c>
      <c r="AM287" s="261">
        <v>176903485</v>
      </c>
      <c r="AN287" s="261">
        <v>176903485</v>
      </c>
      <c r="AO287" s="261">
        <v>1338834</v>
      </c>
      <c r="AP287" s="261">
        <v>5797605</v>
      </c>
      <c r="AQ287" s="6"/>
      <c r="AS287" s="6"/>
    </row>
    <row r="288" spans="1:45" s="1" customFormat="1" x14ac:dyDescent="0.25">
      <c r="A288" s="4" t="s">
        <v>508</v>
      </c>
      <c r="B288" s="5" t="s">
        <v>507</v>
      </c>
      <c r="C288" s="6">
        <f>+C289</f>
        <v>12000000</v>
      </c>
      <c r="D288" s="6">
        <f t="shared" si="143"/>
        <v>0</v>
      </c>
      <c r="E288" s="6">
        <f t="shared" si="143"/>
        <v>0</v>
      </c>
      <c r="F288" s="6">
        <f t="shared" si="143"/>
        <v>0</v>
      </c>
      <c r="G288" s="6">
        <f t="shared" si="143"/>
        <v>12000000</v>
      </c>
      <c r="H288" s="6">
        <f t="shared" si="143"/>
        <v>0</v>
      </c>
      <c r="I288" s="6">
        <f t="shared" si="143"/>
        <v>0</v>
      </c>
      <c r="J288" s="6">
        <f t="shared" si="132"/>
        <v>12000000</v>
      </c>
      <c r="K288" s="6">
        <f t="shared" si="143"/>
        <v>0</v>
      </c>
      <c r="L288" s="6">
        <f t="shared" si="143"/>
        <v>0</v>
      </c>
      <c r="M288" s="6">
        <f t="shared" si="143"/>
        <v>0</v>
      </c>
      <c r="N288" s="6">
        <f t="shared" si="143"/>
        <v>0</v>
      </c>
      <c r="O288" s="6">
        <f t="shared" si="143"/>
        <v>0</v>
      </c>
      <c r="P288" s="6">
        <f t="shared" si="143"/>
        <v>0</v>
      </c>
      <c r="Q288" s="6">
        <f t="shared" si="133"/>
        <v>12000000</v>
      </c>
      <c r="R288" s="6">
        <f t="shared" si="143"/>
        <v>0</v>
      </c>
      <c r="T288" s="183" t="s">
        <v>508</v>
      </c>
      <c r="U288" s="259" t="s">
        <v>507</v>
      </c>
      <c r="V288" s="261">
        <v>12000000</v>
      </c>
      <c r="W288" s="261">
        <v>0</v>
      </c>
      <c r="X288" s="261">
        <v>0</v>
      </c>
      <c r="Y288" s="261">
        <v>0</v>
      </c>
      <c r="Z288" s="261">
        <v>12000000</v>
      </c>
      <c r="AA288" s="261">
        <v>0</v>
      </c>
      <c r="AB288" s="261">
        <v>0</v>
      </c>
      <c r="AC288" s="261">
        <v>12000000</v>
      </c>
      <c r="AD288" s="261">
        <v>0</v>
      </c>
      <c r="AE288" s="261">
        <v>0</v>
      </c>
      <c r="AF288" s="261">
        <v>0</v>
      </c>
      <c r="AG288" s="261">
        <v>0</v>
      </c>
      <c r="AH288" s="261">
        <v>0</v>
      </c>
      <c r="AI288" s="261">
        <v>0</v>
      </c>
      <c r="AJ288" s="261">
        <v>12000000</v>
      </c>
      <c r="AK288" s="261">
        <v>0</v>
      </c>
      <c r="AL288" s="261">
        <v>0</v>
      </c>
      <c r="AM288" s="261">
        <v>0</v>
      </c>
      <c r="AN288" s="261">
        <v>0</v>
      </c>
      <c r="AO288" s="261">
        <v>0</v>
      </c>
      <c r="AP288" s="261">
        <v>12000000</v>
      </c>
      <c r="AQ288" s="6"/>
      <c r="AS288" s="6"/>
    </row>
    <row r="289" spans="1:45" s="1" customFormat="1" x14ac:dyDescent="0.25">
      <c r="A289" s="7" t="s">
        <v>509</v>
      </c>
      <c r="B289" s="8" t="s">
        <v>507</v>
      </c>
      <c r="C289" s="9">
        <f>+C290</f>
        <v>12000000</v>
      </c>
      <c r="D289" s="9">
        <f t="shared" si="143"/>
        <v>0</v>
      </c>
      <c r="E289" s="9">
        <f t="shared" si="143"/>
        <v>0</v>
      </c>
      <c r="F289" s="9">
        <f t="shared" si="143"/>
        <v>0</v>
      </c>
      <c r="G289" s="9">
        <f t="shared" si="143"/>
        <v>12000000</v>
      </c>
      <c r="H289" s="9">
        <f t="shared" si="143"/>
        <v>0</v>
      </c>
      <c r="I289" s="9">
        <f t="shared" si="143"/>
        <v>0</v>
      </c>
      <c r="J289" s="9">
        <f t="shared" si="132"/>
        <v>12000000</v>
      </c>
      <c r="K289" s="9">
        <f t="shared" si="143"/>
        <v>0</v>
      </c>
      <c r="L289" s="9">
        <f t="shared" si="143"/>
        <v>0</v>
      </c>
      <c r="M289" s="9">
        <f t="shared" si="143"/>
        <v>0</v>
      </c>
      <c r="N289" s="9">
        <f t="shared" si="143"/>
        <v>0</v>
      </c>
      <c r="O289" s="9">
        <f t="shared" si="143"/>
        <v>0</v>
      </c>
      <c r="P289" s="9">
        <f t="shared" si="143"/>
        <v>0</v>
      </c>
      <c r="Q289" s="9">
        <f t="shared" si="133"/>
        <v>12000000</v>
      </c>
      <c r="R289" s="9">
        <f t="shared" si="143"/>
        <v>0</v>
      </c>
      <c r="T289" s="183" t="s">
        <v>509</v>
      </c>
      <c r="U289" s="259" t="s">
        <v>507</v>
      </c>
      <c r="V289" s="261">
        <v>12000000</v>
      </c>
      <c r="W289" s="261">
        <v>0</v>
      </c>
      <c r="X289" s="261">
        <v>0</v>
      </c>
      <c r="Y289" s="261">
        <v>0</v>
      </c>
      <c r="Z289" s="261">
        <v>12000000</v>
      </c>
      <c r="AA289" s="261">
        <v>0</v>
      </c>
      <c r="AB289" s="261">
        <v>0</v>
      </c>
      <c r="AC289" s="261">
        <v>12000000</v>
      </c>
      <c r="AD289" s="261">
        <v>0</v>
      </c>
      <c r="AE289" s="261">
        <v>0</v>
      </c>
      <c r="AF289" s="261">
        <v>0</v>
      </c>
      <c r="AG289" s="261">
        <v>0</v>
      </c>
      <c r="AH289" s="261">
        <v>0</v>
      </c>
      <c r="AI289" s="261">
        <v>0</v>
      </c>
      <c r="AJ289" s="261">
        <v>12000000</v>
      </c>
      <c r="AK289" s="261">
        <v>0</v>
      </c>
      <c r="AL289" s="261">
        <v>0</v>
      </c>
      <c r="AM289" s="261">
        <v>0</v>
      </c>
      <c r="AN289" s="261">
        <v>0</v>
      </c>
      <c r="AO289" s="261">
        <v>0</v>
      </c>
      <c r="AP289" s="261">
        <v>12000000</v>
      </c>
      <c r="AQ289" s="9"/>
      <c r="AS289" s="9"/>
    </row>
    <row r="290" spans="1:45" s="1" customFormat="1" x14ac:dyDescent="0.25">
      <c r="A290" s="2" t="s">
        <v>510</v>
      </c>
      <c r="B290" s="259" t="s">
        <v>507</v>
      </c>
      <c r="C290" s="261">
        <v>12000000</v>
      </c>
      <c r="D290" s="261">
        <v>0</v>
      </c>
      <c r="E290" s="261">
        <v>0</v>
      </c>
      <c r="F290" s="261">
        <v>0</v>
      </c>
      <c r="G290" s="261">
        <f>+C290+D290-E290+F290</f>
        <v>12000000</v>
      </c>
      <c r="H290" s="261">
        <v>0</v>
      </c>
      <c r="I290" s="261">
        <v>0</v>
      </c>
      <c r="J290" s="261">
        <f t="shared" si="132"/>
        <v>12000000</v>
      </c>
      <c r="K290" s="261">
        <v>0</v>
      </c>
      <c r="L290" s="261">
        <v>0</v>
      </c>
      <c r="M290" s="261">
        <f>+I290-L290</f>
        <v>0</v>
      </c>
      <c r="N290" s="261">
        <v>0</v>
      </c>
      <c r="O290" s="261">
        <v>0</v>
      </c>
      <c r="P290" s="261">
        <f>+O290-I290</f>
        <v>0</v>
      </c>
      <c r="Q290" s="177">
        <f t="shared" si="133"/>
        <v>12000000</v>
      </c>
      <c r="R290" s="261">
        <f>+L290</f>
        <v>0</v>
      </c>
      <c r="S290" s="257"/>
      <c r="T290" s="183" t="s">
        <v>510</v>
      </c>
      <c r="U290" s="259" t="s">
        <v>507</v>
      </c>
      <c r="V290" s="261">
        <v>12000000</v>
      </c>
      <c r="W290" s="261">
        <v>0</v>
      </c>
      <c r="X290" s="261">
        <v>0</v>
      </c>
      <c r="Y290" s="261">
        <v>0</v>
      </c>
      <c r="Z290" s="261">
        <v>12000000</v>
      </c>
      <c r="AA290" s="261">
        <v>0</v>
      </c>
      <c r="AB290" s="261">
        <v>0</v>
      </c>
      <c r="AC290" s="261">
        <v>12000000</v>
      </c>
      <c r="AD290" s="261">
        <v>0</v>
      </c>
      <c r="AE290" s="261">
        <v>0</v>
      </c>
      <c r="AF290" s="261">
        <v>0</v>
      </c>
      <c r="AG290" s="261">
        <v>0</v>
      </c>
      <c r="AH290" s="261">
        <v>0</v>
      </c>
      <c r="AI290" s="261">
        <v>0</v>
      </c>
      <c r="AJ290" s="261">
        <v>12000000</v>
      </c>
      <c r="AK290" s="261">
        <v>0</v>
      </c>
      <c r="AL290" s="261">
        <v>0</v>
      </c>
      <c r="AM290" s="261">
        <v>0</v>
      </c>
      <c r="AN290" s="261">
        <v>0</v>
      </c>
      <c r="AO290" s="261">
        <v>0</v>
      </c>
      <c r="AP290" s="261">
        <v>12000000</v>
      </c>
      <c r="AQ290" s="261"/>
      <c r="AS290" s="261"/>
    </row>
    <row r="291" spans="1:45" x14ac:dyDescent="0.25">
      <c r="A291" s="4" t="s">
        <v>511</v>
      </c>
      <c r="B291" s="5" t="s">
        <v>512</v>
      </c>
      <c r="C291" s="6">
        <f>+C292+C296+C301</f>
        <v>545419184</v>
      </c>
      <c r="D291" s="6">
        <f t="shared" ref="D291:R291" si="144">+D292+D296+D301</f>
        <v>0</v>
      </c>
      <c r="E291" s="6">
        <f t="shared" si="144"/>
        <v>0</v>
      </c>
      <c r="F291" s="6">
        <f t="shared" si="144"/>
        <v>0</v>
      </c>
      <c r="G291" s="6">
        <f t="shared" si="144"/>
        <v>545419184</v>
      </c>
      <c r="H291" s="6">
        <f t="shared" si="144"/>
        <v>34550120.759999998</v>
      </c>
      <c r="I291" s="6">
        <f t="shared" si="144"/>
        <v>379795553.75999999</v>
      </c>
      <c r="J291" s="6">
        <f t="shared" si="132"/>
        <v>165623630.24000001</v>
      </c>
      <c r="K291" s="6">
        <f t="shared" si="144"/>
        <v>34349733.759999998</v>
      </c>
      <c r="L291" s="6">
        <f t="shared" si="144"/>
        <v>378191166.75999999</v>
      </c>
      <c r="M291" s="6">
        <f t="shared" si="144"/>
        <v>1604387</v>
      </c>
      <c r="N291" s="6">
        <f t="shared" si="144"/>
        <v>35050120.759999998</v>
      </c>
      <c r="O291" s="6">
        <f t="shared" si="144"/>
        <v>380295553.75999999</v>
      </c>
      <c r="P291" s="6">
        <f t="shared" si="144"/>
        <v>500000</v>
      </c>
      <c r="Q291" s="6">
        <f t="shared" si="133"/>
        <v>165123630.24000001</v>
      </c>
      <c r="R291" s="6">
        <f t="shared" si="144"/>
        <v>378191166.75999999</v>
      </c>
      <c r="S291" s="1"/>
      <c r="T291" s="183" t="s">
        <v>511</v>
      </c>
      <c r="U291" s="259" t="s">
        <v>512</v>
      </c>
      <c r="V291" s="261">
        <v>545419184</v>
      </c>
      <c r="W291" s="261">
        <v>0</v>
      </c>
      <c r="X291" s="261">
        <v>0</v>
      </c>
      <c r="Y291" s="261">
        <v>0</v>
      </c>
      <c r="Z291" s="261">
        <v>545419184</v>
      </c>
      <c r="AA291" s="261">
        <v>34550120.759999998</v>
      </c>
      <c r="AB291" s="261">
        <v>379795553.75999999</v>
      </c>
      <c r="AC291" s="261">
        <v>165623630.24000001</v>
      </c>
      <c r="AD291" s="261">
        <v>34349733.759999998</v>
      </c>
      <c r="AE291" s="261">
        <v>378191166.75999999</v>
      </c>
      <c r="AF291" s="261">
        <v>1604387</v>
      </c>
      <c r="AG291" s="261">
        <v>35050120.759999998</v>
      </c>
      <c r="AH291" s="261">
        <v>380295553.75999999</v>
      </c>
      <c r="AI291" s="261">
        <v>500000</v>
      </c>
      <c r="AJ291" s="261">
        <v>165123630.24000001</v>
      </c>
      <c r="AK291" s="261">
        <v>0</v>
      </c>
      <c r="AL291" s="261">
        <v>0</v>
      </c>
      <c r="AM291" s="261">
        <v>0</v>
      </c>
      <c r="AN291" s="261">
        <v>0</v>
      </c>
      <c r="AO291" s="261">
        <v>0</v>
      </c>
      <c r="AP291" s="261">
        <v>12000000</v>
      </c>
      <c r="AQ291" s="6"/>
      <c r="AS291" s="6"/>
    </row>
    <row r="292" spans="1:45" s="1" customFormat="1" x14ac:dyDescent="0.25">
      <c r="A292" s="4" t="s">
        <v>513</v>
      </c>
      <c r="B292" s="5" t="s">
        <v>514</v>
      </c>
      <c r="C292" s="6">
        <f>+C293</f>
        <v>150000000</v>
      </c>
      <c r="D292" s="6">
        <f t="shared" ref="D292:R294" si="145">+D293</f>
        <v>0</v>
      </c>
      <c r="E292" s="6">
        <f t="shared" si="145"/>
        <v>0</v>
      </c>
      <c r="F292" s="6">
        <f t="shared" si="145"/>
        <v>0</v>
      </c>
      <c r="G292" s="6">
        <f t="shared" si="145"/>
        <v>150000000</v>
      </c>
      <c r="H292" s="6">
        <f t="shared" si="145"/>
        <v>0</v>
      </c>
      <c r="I292" s="6">
        <f t="shared" si="145"/>
        <v>34093069</v>
      </c>
      <c r="J292" s="6">
        <f t="shared" si="132"/>
        <v>115906931</v>
      </c>
      <c r="K292" s="6">
        <f t="shared" si="145"/>
        <v>0</v>
      </c>
      <c r="L292" s="6">
        <f t="shared" si="145"/>
        <v>34093069</v>
      </c>
      <c r="M292" s="6">
        <f t="shared" si="145"/>
        <v>0</v>
      </c>
      <c r="N292" s="6">
        <f t="shared" si="145"/>
        <v>0</v>
      </c>
      <c r="O292" s="6">
        <f t="shared" si="145"/>
        <v>34093069</v>
      </c>
      <c r="P292" s="6">
        <f t="shared" si="145"/>
        <v>0</v>
      </c>
      <c r="Q292" s="6">
        <f t="shared" si="133"/>
        <v>115906931</v>
      </c>
      <c r="R292" s="6">
        <f t="shared" si="145"/>
        <v>34093069</v>
      </c>
      <c r="T292" s="183" t="s">
        <v>513</v>
      </c>
      <c r="U292" s="259" t="s">
        <v>514</v>
      </c>
      <c r="V292" s="261">
        <v>150000000</v>
      </c>
      <c r="W292" s="261">
        <v>0</v>
      </c>
      <c r="X292" s="261">
        <v>0</v>
      </c>
      <c r="Y292" s="261">
        <v>0</v>
      </c>
      <c r="Z292" s="261">
        <v>150000000</v>
      </c>
      <c r="AA292" s="261">
        <v>0</v>
      </c>
      <c r="AB292" s="261">
        <v>34093069</v>
      </c>
      <c r="AC292" s="261">
        <v>115906931</v>
      </c>
      <c r="AD292" s="261">
        <v>0</v>
      </c>
      <c r="AE292" s="261">
        <v>34093069</v>
      </c>
      <c r="AF292" s="261">
        <v>0</v>
      </c>
      <c r="AG292" s="261">
        <v>0</v>
      </c>
      <c r="AH292" s="261">
        <v>34093069</v>
      </c>
      <c r="AI292" s="261">
        <v>0</v>
      </c>
      <c r="AJ292" s="261">
        <v>115906931</v>
      </c>
      <c r="AK292" s="261">
        <v>150000</v>
      </c>
      <c r="AL292" s="261">
        <v>35026367.759999998</v>
      </c>
      <c r="AM292" s="261">
        <v>380421800.75999999</v>
      </c>
      <c r="AN292" s="261">
        <v>380271800.75999999</v>
      </c>
      <c r="AO292" s="261">
        <v>500000</v>
      </c>
      <c r="AP292" s="261">
        <v>165147383.24000001</v>
      </c>
      <c r="AQ292" s="6"/>
      <c r="AS292" s="6"/>
    </row>
    <row r="293" spans="1:45" s="1" customFormat="1" x14ac:dyDescent="0.25">
      <c r="A293" s="4" t="s">
        <v>515</v>
      </c>
      <c r="B293" s="5" t="s">
        <v>516</v>
      </c>
      <c r="C293" s="6">
        <f>+C294</f>
        <v>150000000</v>
      </c>
      <c r="D293" s="6">
        <f t="shared" si="145"/>
        <v>0</v>
      </c>
      <c r="E293" s="6">
        <f t="shared" si="145"/>
        <v>0</v>
      </c>
      <c r="F293" s="6">
        <f t="shared" si="145"/>
        <v>0</v>
      </c>
      <c r="G293" s="6">
        <f t="shared" si="145"/>
        <v>150000000</v>
      </c>
      <c r="H293" s="6">
        <f t="shared" si="145"/>
        <v>0</v>
      </c>
      <c r="I293" s="6">
        <f t="shared" si="145"/>
        <v>34093069</v>
      </c>
      <c r="J293" s="6">
        <f t="shared" si="132"/>
        <v>115906931</v>
      </c>
      <c r="K293" s="6">
        <f t="shared" si="145"/>
        <v>0</v>
      </c>
      <c r="L293" s="6">
        <f t="shared" si="145"/>
        <v>34093069</v>
      </c>
      <c r="M293" s="6">
        <f t="shared" si="145"/>
        <v>0</v>
      </c>
      <c r="N293" s="6">
        <f t="shared" si="145"/>
        <v>0</v>
      </c>
      <c r="O293" s="6">
        <f t="shared" si="145"/>
        <v>34093069</v>
      </c>
      <c r="P293" s="6">
        <f t="shared" si="145"/>
        <v>0</v>
      </c>
      <c r="Q293" s="6">
        <f t="shared" si="133"/>
        <v>115906931</v>
      </c>
      <c r="R293" s="6">
        <f t="shared" si="145"/>
        <v>34093069</v>
      </c>
      <c r="T293" s="183" t="s">
        <v>515</v>
      </c>
      <c r="U293" s="259" t="s">
        <v>516</v>
      </c>
      <c r="V293" s="261">
        <v>150000000</v>
      </c>
      <c r="W293" s="261">
        <v>0</v>
      </c>
      <c r="X293" s="261">
        <v>0</v>
      </c>
      <c r="Y293" s="261">
        <v>0</v>
      </c>
      <c r="Z293" s="261">
        <v>150000000</v>
      </c>
      <c r="AA293" s="261">
        <v>0</v>
      </c>
      <c r="AB293" s="261">
        <v>34093069</v>
      </c>
      <c r="AC293" s="261">
        <v>115906931</v>
      </c>
      <c r="AD293" s="261">
        <v>0</v>
      </c>
      <c r="AE293" s="261">
        <v>34093069</v>
      </c>
      <c r="AF293" s="261">
        <v>0</v>
      </c>
      <c r="AG293" s="261">
        <v>0</v>
      </c>
      <c r="AH293" s="261">
        <v>34093069</v>
      </c>
      <c r="AI293" s="261">
        <v>0</v>
      </c>
      <c r="AJ293" s="261">
        <v>115906931</v>
      </c>
      <c r="AK293" s="261">
        <v>0</v>
      </c>
      <c r="AL293" s="261">
        <v>0</v>
      </c>
      <c r="AM293" s="261">
        <v>34093069</v>
      </c>
      <c r="AN293" s="261">
        <v>34093069</v>
      </c>
      <c r="AO293" s="261">
        <v>0</v>
      </c>
      <c r="AP293" s="261">
        <v>115906931</v>
      </c>
      <c r="AQ293" s="6"/>
      <c r="AS293" s="6"/>
    </row>
    <row r="294" spans="1:45" s="1" customFormat="1" x14ac:dyDescent="0.25">
      <c r="A294" s="7" t="s">
        <v>517</v>
      </c>
      <c r="B294" s="8" t="s">
        <v>516</v>
      </c>
      <c r="C294" s="9">
        <f>+C295</f>
        <v>150000000</v>
      </c>
      <c r="D294" s="9">
        <f t="shared" si="145"/>
        <v>0</v>
      </c>
      <c r="E294" s="9">
        <f t="shared" si="145"/>
        <v>0</v>
      </c>
      <c r="F294" s="9">
        <f t="shared" si="145"/>
        <v>0</v>
      </c>
      <c r="G294" s="9">
        <f t="shared" si="145"/>
        <v>150000000</v>
      </c>
      <c r="H294" s="9">
        <f t="shared" si="145"/>
        <v>0</v>
      </c>
      <c r="I294" s="9">
        <f t="shared" si="145"/>
        <v>34093069</v>
      </c>
      <c r="J294" s="9">
        <f t="shared" si="132"/>
        <v>115906931</v>
      </c>
      <c r="K294" s="9">
        <f t="shared" si="145"/>
        <v>0</v>
      </c>
      <c r="L294" s="9">
        <f t="shared" si="145"/>
        <v>34093069</v>
      </c>
      <c r="M294" s="9">
        <f t="shared" si="145"/>
        <v>0</v>
      </c>
      <c r="N294" s="9">
        <f t="shared" si="145"/>
        <v>0</v>
      </c>
      <c r="O294" s="9">
        <f t="shared" si="145"/>
        <v>34093069</v>
      </c>
      <c r="P294" s="9">
        <f t="shared" si="145"/>
        <v>0</v>
      </c>
      <c r="Q294" s="9">
        <f t="shared" si="133"/>
        <v>115906931</v>
      </c>
      <c r="R294" s="9">
        <f t="shared" si="145"/>
        <v>34093069</v>
      </c>
      <c r="T294" s="183" t="s">
        <v>517</v>
      </c>
      <c r="U294" s="259" t="s">
        <v>516</v>
      </c>
      <c r="V294" s="261">
        <v>150000000</v>
      </c>
      <c r="W294" s="261">
        <v>0</v>
      </c>
      <c r="X294" s="261">
        <v>0</v>
      </c>
      <c r="Y294" s="261">
        <v>0</v>
      </c>
      <c r="Z294" s="261">
        <v>150000000</v>
      </c>
      <c r="AA294" s="261">
        <v>0</v>
      </c>
      <c r="AB294" s="261">
        <v>34093069</v>
      </c>
      <c r="AC294" s="261">
        <v>115906931</v>
      </c>
      <c r="AD294" s="261">
        <v>0</v>
      </c>
      <c r="AE294" s="261">
        <v>34093069</v>
      </c>
      <c r="AF294" s="261">
        <v>0</v>
      </c>
      <c r="AG294" s="261">
        <v>0</v>
      </c>
      <c r="AH294" s="261">
        <v>34093069</v>
      </c>
      <c r="AI294" s="261">
        <v>0</v>
      </c>
      <c r="AJ294" s="261">
        <v>115906931</v>
      </c>
      <c r="AK294" s="261">
        <v>0</v>
      </c>
      <c r="AL294" s="261">
        <v>0</v>
      </c>
      <c r="AM294" s="261">
        <v>34093069</v>
      </c>
      <c r="AN294" s="261">
        <v>34093069</v>
      </c>
      <c r="AO294" s="261">
        <v>0</v>
      </c>
      <c r="AP294" s="261">
        <v>115906931</v>
      </c>
      <c r="AQ294" s="9"/>
      <c r="AS294" s="9"/>
    </row>
    <row r="295" spans="1:45" x14ac:dyDescent="0.25">
      <c r="A295" s="2" t="s">
        <v>518</v>
      </c>
      <c r="B295" s="259" t="s">
        <v>519</v>
      </c>
      <c r="C295" s="261">
        <v>150000000</v>
      </c>
      <c r="D295" s="261">
        <v>0</v>
      </c>
      <c r="E295" s="261">
        <v>0</v>
      </c>
      <c r="F295" s="261">
        <v>0</v>
      </c>
      <c r="G295" s="261">
        <f>+C295+D295-E295+F295</f>
        <v>150000000</v>
      </c>
      <c r="H295" s="261">
        <v>0</v>
      </c>
      <c r="I295" s="261">
        <v>34093069</v>
      </c>
      <c r="J295" s="261">
        <f t="shared" si="132"/>
        <v>115906931</v>
      </c>
      <c r="K295" s="261">
        <v>0</v>
      </c>
      <c r="L295" s="261">
        <v>34093069</v>
      </c>
      <c r="M295" s="261">
        <f>+I295-L295</f>
        <v>0</v>
      </c>
      <c r="N295" s="261">
        <v>0</v>
      </c>
      <c r="O295" s="261">
        <v>34093069</v>
      </c>
      <c r="P295" s="261">
        <f>+O295-I295</f>
        <v>0</v>
      </c>
      <c r="Q295" s="177">
        <f t="shared" si="133"/>
        <v>115906931</v>
      </c>
      <c r="R295" s="261">
        <f>+L295</f>
        <v>34093069</v>
      </c>
      <c r="T295" s="183" t="s">
        <v>518</v>
      </c>
      <c r="U295" s="259" t="s">
        <v>519</v>
      </c>
      <c r="V295" s="261">
        <v>150000000</v>
      </c>
      <c r="W295" s="261">
        <v>0</v>
      </c>
      <c r="X295" s="261">
        <v>0</v>
      </c>
      <c r="Y295" s="261">
        <v>0</v>
      </c>
      <c r="Z295" s="261">
        <v>150000000</v>
      </c>
      <c r="AA295" s="261">
        <v>0</v>
      </c>
      <c r="AB295" s="261">
        <v>34093069</v>
      </c>
      <c r="AC295" s="261">
        <v>115906931</v>
      </c>
      <c r="AD295" s="261">
        <v>0</v>
      </c>
      <c r="AE295" s="261">
        <v>34093069</v>
      </c>
      <c r="AF295" s="261">
        <v>0</v>
      </c>
      <c r="AG295" s="261">
        <v>0</v>
      </c>
      <c r="AH295" s="261">
        <v>34093069</v>
      </c>
      <c r="AI295" s="261">
        <v>0</v>
      </c>
      <c r="AJ295" s="261">
        <v>115906931</v>
      </c>
      <c r="AK295" s="261">
        <v>0</v>
      </c>
      <c r="AL295" s="261">
        <v>0</v>
      </c>
      <c r="AM295" s="261">
        <v>34093069</v>
      </c>
      <c r="AN295" s="261">
        <v>34093069</v>
      </c>
      <c r="AO295" s="261">
        <v>0</v>
      </c>
      <c r="AP295" s="261">
        <v>115906931</v>
      </c>
      <c r="AQ295" s="261"/>
      <c r="AS295" s="261"/>
    </row>
    <row r="296" spans="1:45" s="1" customFormat="1" x14ac:dyDescent="0.25">
      <c r="A296" s="4" t="s">
        <v>520</v>
      </c>
      <c r="B296" s="5" t="s">
        <v>521</v>
      </c>
      <c r="C296" s="6">
        <f>+C297</f>
        <v>78230300</v>
      </c>
      <c r="D296" s="6">
        <f t="shared" ref="D296:R298" si="146">+D297</f>
        <v>0</v>
      </c>
      <c r="E296" s="6">
        <f t="shared" si="146"/>
        <v>0</v>
      </c>
      <c r="F296" s="6">
        <f t="shared" si="146"/>
        <v>0</v>
      </c>
      <c r="G296" s="6">
        <f t="shared" si="146"/>
        <v>78230300</v>
      </c>
      <c r="H296" s="6">
        <f t="shared" si="146"/>
        <v>34550120.759999998</v>
      </c>
      <c r="I296" s="6">
        <f t="shared" si="146"/>
        <v>37378590.759999998</v>
      </c>
      <c r="J296" s="6">
        <f t="shared" si="132"/>
        <v>40851709.240000002</v>
      </c>
      <c r="K296" s="6">
        <f t="shared" si="146"/>
        <v>34349733.759999998</v>
      </c>
      <c r="L296" s="6">
        <f t="shared" si="146"/>
        <v>35774203.759999998</v>
      </c>
      <c r="M296" s="6">
        <f t="shared" si="146"/>
        <v>1604387</v>
      </c>
      <c r="N296" s="6">
        <f t="shared" si="146"/>
        <v>35050120.759999998</v>
      </c>
      <c r="O296" s="6">
        <f t="shared" si="146"/>
        <v>37878590.759999998</v>
      </c>
      <c r="P296" s="6">
        <f t="shared" si="146"/>
        <v>500000</v>
      </c>
      <c r="Q296" s="6">
        <f t="shared" si="133"/>
        <v>40351709.240000002</v>
      </c>
      <c r="R296" s="6">
        <f t="shared" si="146"/>
        <v>35774203.759999998</v>
      </c>
      <c r="T296" s="183" t="s">
        <v>520</v>
      </c>
      <c r="U296" s="259" t="s">
        <v>521</v>
      </c>
      <c r="V296" s="261">
        <v>78230300</v>
      </c>
      <c r="W296" s="261">
        <v>0</v>
      </c>
      <c r="X296" s="261">
        <v>0</v>
      </c>
      <c r="Y296" s="261">
        <v>0</v>
      </c>
      <c r="Z296" s="261">
        <v>78230300</v>
      </c>
      <c r="AA296" s="261">
        <v>34550120.759999998</v>
      </c>
      <c r="AB296" s="261">
        <v>37378590.759999998</v>
      </c>
      <c r="AC296" s="261">
        <v>40851709.240000002</v>
      </c>
      <c r="AD296" s="261">
        <v>34349733.759999998</v>
      </c>
      <c r="AE296" s="261">
        <v>35774203.759999998</v>
      </c>
      <c r="AF296" s="261">
        <v>1604387</v>
      </c>
      <c r="AG296" s="261">
        <v>35050120.759999998</v>
      </c>
      <c r="AH296" s="261">
        <v>37878590.759999998</v>
      </c>
      <c r="AI296" s="261">
        <v>500000</v>
      </c>
      <c r="AJ296" s="261">
        <v>40351709.240000002</v>
      </c>
      <c r="AK296" s="261">
        <v>0</v>
      </c>
      <c r="AL296" s="261">
        <v>0</v>
      </c>
      <c r="AM296" s="261">
        <v>34093069</v>
      </c>
      <c r="AN296" s="261">
        <v>34093069</v>
      </c>
      <c r="AO296" s="261">
        <v>0</v>
      </c>
      <c r="AP296" s="261">
        <v>115906931</v>
      </c>
      <c r="AQ296" s="6"/>
      <c r="AS296" s="6"/>
    </row>
    <row r="297" spans="1:45" s="1" customFormat="1" x14ac:dyDescent="0.25">
      <c r="A297" s="4" t="s">
        <v>522</v>
      </c>
      <c r="B297" s="5" t="s">
        <v>521</v>
      </c>
      <c r="C297" s="6">
        <f>+C298</f>
        <v>78230300</v>
      </c>
      <c r="D297" s="6">
        <f t="shared" si="146"/>
        <v>0</v>
      </c>
      <c r="E297" s="6">
        <f t="shared" si="146"/>
        <v>0</v>
      </c>
      <c r="F297" s="6">
        <f t="shared" si="146"/>
        <v>0</v>
      </c>
      <c r="G297" s="6">
        <f t="shared" si="146"/>
        <v>78230300</v>
      </c>
      <c r="H297" s="6">
        <f t="shared" si="146"/>
        <v>34550120.759999998</v>
      </c>
      <c r="I297" s="6">
        <f t="shared" si="146"/>
        <v>37378590.759999998</v>
      </c>
      <c r="J297" s="6">
        <f t="shared" si="132"/>
        <v>40851709.240000002</v>
      </c>
      <c r="K297" s="6">
        <f t="shared" si="146"/>
        <v>34349733.759999998</v>
      </c>
      <c r="L297" s="6">
        <f t="shared" si="146"/>
        <v>35774203.759999998</v>
      </c>
      <c r="M297" s="6">
        <f t="shared" si="146"/>
        <v>1604387</v>
      </c>
      <c r="N297" s="6">
        <f t="shared" si="146"/>
        <v>35050120.759999998</v>
      </c>
      <c r="O297" s="6">
        <f t="shared" si="146"/>
        <v>37878590.759999998</v>
      </c>
      <c r="P297" s="6">
        <f t="shared" si="146"/>
        <v>500000</v>
      </c>
      <c r="Q297" s="6">
        <f t="shared" si="133"/>
        <v>40351709.240000002</v>
      </c>
      <c r="R297" s="6">
        <f t="shared" si="146"/>
        <v>35774203.759999998</v>
      </c>
      <c r="T297" s="183" t="s">
        <v>522</v>
      </c>
      <c r="U297" s="259" t="s">
        <v>521</v>
      </c>
      <c r="V297" s="261">
        <v>78230300</v>
      </c>
      <c r="W297" s="261">
        <v>0</v>
      </c>
      <c r="X297" s="261">
        <v>0</v>
      </c>
      <c r="Y297" s="261">
        <v>0</v>
      </c>
      <c r="Z297" s="261">
        <v>78230300</v>
      </c>
      <c r="AA297" s="261">
        <v>34550120.759999998</v>
      </c>
      <c r="AB297" s="261">
        <v>37378590.759999998</v>
      </c>
      <c r="AC297" s="261">
        <v>40851709.240000002</v>
      </c>
      <c r="AD297" s="261">
        <v>34349733.759999998</v>
      </c>
      <c r="AE297" s="261">
        <v>35774203.759999998</v>
      </c>
      <c r="AF297" s="261">
        <v>1604387</v>
      </c>
      <c r="AG297" s="261">
        <v>35050120.759999998</v>
      </c>
      <c r="AH297" s="261">
        <v>37878590.759999998</v>
      </c>
      <c r="AI297" s="261">
        <v>500000</v>
      </c>
      <c r="AJ297" s="261">
        <v>40351709.240000002</v>
      </c>
      <c r="AK297" s="261">
        <v>150000</v>
      </c>
      <c r="AL297" s="261">
        <v>35026367.759999998</v>
      </c>
      <c r="AM297" s="261">
        <v>38004837.759999998</v>
      </c>
      <c r="AN297" s="261">
        <v>37854837.759999998</v>
      </c>
      <c r="AO297" s="261">
        <v>500000</v>
      </c>
      <c r="AP297" s="261">
        <v>40375462.240000002</v>
      </c>
      <c r="AQ297" s="6"/>
      <c r="AS297" s="6"/>
    </row>
    <row r="298" spans="1:45" x14ac:dyDescent="0.25">
      <c r="A298" s="7" t="s">
        <v>523</v>
      </c>
      <c r="B298" s="8" t="s">
        <v>521</v>
      </c>
      <c r="C298" s="9">
        <f>+C299</f>
        <v>78230300</v>
      </c>
      <c r="D298" s="9">
        <f t="shared" si="146"/>
        <v>0</v>
      </c>
      <c r="E298" s="9">
        <f t="shared" si="146"/>
        <v>0</v>
      </c>
      <c r="F298" s="9">
        <f t="shared" si="146"/>
        <v>0</v>
      </c>
      <c r="G298" s="9">
        <f t="shared" si="146"/>
        <v>78230300</v>
      </c>
      <c r="H298" s="9">
        <f t="shared" si="146"/>
        <v>34550120.759999998</v>
      </c>
      <c r="I298" s="9">
        <f t="shared" si="146"/>
        <v>37378590.759999998</v>
      </c>
      <c r="J298" s="9">
        <f t="shared" si="132"/>
        <v>40851709.240000002</v>
      </c>
      <c r="K298" s="9">
        <f t="shared" si="146"/>
        <v>34349733.759999998</v>
      </c>
      <c r="L298" s="9">
        <f t="shared" si="146"/>
        <v>35774203.759999998</v>
      </c>
      <c r="M298" s="9">
        <f t="shared" si="146"/>
        <v>1604387</v>
      </c>
      <c r="N298" s="9">
        <f t="shared" si="146"/>
        <v>35050120.759999998</v>
      </c>
      <c r="O298" s="9">
        <f t="shared" si="146"/>
        <v>37878590.759999998</v>
      </c>
      <c r="P298" s="9">
        <f t="shared" si="146"/>
        <v>500000</v>
      </c>
      <c r="Q298" s="9">
        <f t="shared" si="133"/>
        <v>40351709.240000002</v>
      </c>
      <c r="R298" s="9">
        <f t="shared" si="146"/>
        <v>35774203.759999998</v>
      </c>
      <c r="S298" s="1"/>
      <c r="T298" s="183" t="s">
        <v>523</v>
      </c>
      <c r="U298" s="259" t="s">
        <v>521</v>
      </c>
      <c r="V298" s="261">
        <v>78230300</v>
      </c>
      <c r="W298" s="261">
        <v>0</v>
      </c>
      <c r="X298" s="261">
        <v>0</v>
      </c>
      <c r="Y298" s="261">
        <v>0</v>
      </c>
      <c r="Z298" s="261">
        <v>78230300</v>
      </c>
      <c r="AA298" s="261">
        <v>34550120.759999998</v>
      </c>
      <c r="AB298" s="261">
        <v>37378590.759999998</v>
      </c>
      <c r="AC298" s="261">
        <v>40851709.240000002</v>
      </c>
      <c r="AD298" s="261">
        <v>34349733.759999998</v>
      </c>
      <c r="AE298" s="261">
        <v>35774203.759999998</v>
      </c>
      <c r="AF298" s="261">
        <v>1604387</v>
      </c>
      <c r="AG298" s="261">
        <v>35050120.759999998</v>
      </c>
      <c r="AH298" s="261">
        <v>37878590.759999998</v>
      </c>
      <c r="AI298" s="261">
        <v>500000</v>
      </c>
      <c r="AJ298" s="261">
        <v>40351709.240000002</v>
      </c>
      <c r="AK298" s="261">
        <v>150000</v>
      </c>
      <c r="AL298" s="261">
        <v>35026367.759999998</v>
      </c>
      <c r="AM298" s="261">
        <v>38004837.759999998</v>
      </c>
      <c r="AN298" s="261">
        <v>37854837.759999998</v>
      </c>
      <c r="AO298" s="261">
        <v>500000</v>
      </c>
      <c r="AP298" s="261">
        <v>40375462.240000002</v>
      </c>
      <c r="AQ298" s="9"/>
      <c r="AS298" s="9"/>
    </row>
    <row r="299" spans="1:45" s="1" customFormat="1" x14ac:dyDescent="0.25">
      <c r="A299" s="2" t="s">
        <v>524</v>
      </c>
      <c r="B299" s="259" t="s">
        <v>521</v>
      </c>
      <c r="C299" s="261">
        <v>78230300</v>
      </c>
      <c r="D299" s="261">
        <v>0</v>
      </c>
      <c r="E299" s="261">
        <v>0</v>
      </c>
      <c r="F299" s="261">
        <v>0</v>
      </c>
      <c r="G299" s="261">
        <f>+C299+D299-E299+F299</f>
        <v>78230300</v>
      </c>
      <c r="H299" s="261">
        <v>34550120.759999998</v>
      </c>
      <c r="I299" s="261">
        <v>37378590.759999998</v>
      </c>
      <c r="J299" s="261">
        <f t="shared" si="132"/>
        <v>40851709.240000002</v>
      </c>
      <c r="K299" s="261">
        <v>34349733.759999998</v>
      </c>
      <c r="L299" s="261">
        <v>35774203.759999998</v>
      </c>
      <c r="M299" s="261">
        <f>+I299-L299</f>
        <v>1604387</v>
      </c>
      <c r="N299" s="261">
        <v>35050120.759999998</v>
      </c>
      <c r="O299" s="261">
        <v>37878590.759999998</v>
      </c>
      <c r="P299" s="261">
        <f>+O299-I299</f>
        <v>500000</v>
      </c>
      <c r="Q299" s="177">
        <f t="shared" si="133"/>
        <v>40351709.240000002</v>
      </c>
      <c r="R299" s="261">
        <f>+L299</f>
        <v>35774203.759999998</v>
      </c>
      <c r="S299" s="257"/>
      <c r="T299" s="183" t="s">
        <v>524</v>
      </c>
      <c r="U299" s="259" t="s">
        <v>521</v>
      </c>
      <c r="V299" s="261">
        <v>78230300</v>
      </c>
      <c r="W299" s="261">
        <v>0</v>
      </c>
      <c r="X299" s="261">
        <v>0</v>
      </c>
      <c r="Y299" s="261">
        <v>0</v>
      </c>
      <c r="Z299" s="261">
        <v>78230300</v>
      </c>
      <c r="AA299" s="261">
        <v>34550120.759999998</v>
      </c>
      <c r="AB299" s="261">
        <v>37378590.759999998</v>
      </c>
      <c r="AC299" s="261">
        <v>40851709.240000002</v>
      </c>
      <c r="AD299" s="261">
        <v>34349733.759999998</v>
      </c>
      <c r="AE299" s="261">
        <v>35774203.759999998</v>
      </c>
      <c r="AF299" s="261">
        <v>1604387</v>
      </c>
      <c r="AG299" s="261">
        <v>35050120.759999998</v>
      </c>
      <c r="AH299" s="261">
        <v>37878590.759999998</v>
      </c>
      <c r="AI299" s="261">
        <v>500000</v>
      </c>
      <c r="AJ299" s="261">
        <v>40351709.240000002</v>
      </c>
      <c r="AK299" s="261">
        <v>150000</v>
      </c>
      <c r="AL299" s="261">
        <v>35026367.759999998</v>
      </c>
      <c r="AM299" s="261">
        <v>38004837.759999998</v>
      </c>
      <c r="AN299" s="261">
        <v>37854837.759999998</v>
      </c>
      <c r="AO299" s="261">
        <v>500000</v>
      </c>
      <c r="AP299" s="261">
        <v>40375462.240000002</v>
      </c>
      <c r="AQ299" s="261"/>
      <c r="AS299" s="261"/>
    </row>
    <row r="300" spans="1:45" s="1" customFormat="1" x14ac:dyDescent="0.25">
      <c r="A300" s="4" t="s">
        <v>525</v>
      </c>
      <c r="B300" s="5" t="s">
        <v>526</v>
      </c>
      <c r="C300" s="6">
        <f>+C301</f>
        <v>317188884</v>
      </c>
      <c r="D300" s="6">
        <f t="shared" ref="D300:R301" si="147">+D301</f>
        <v>0</v>
      </c>
      <c r="E300" s="6">
        <f t="shared" si="147"/>
        <v>0</v>
      </c>
      <c r="F300" s="6">
        <f t="shared" si="147"/>
        <v>0</v>
      </c>
      <c r="G300" s="6">
        <f t="shared" si="147"/>
        <v>317188884</v>
      </c>
      <c r="H300" s="6">
        <f t="shared" si="147"/>
        <v>0</v>
      </c>
      <c r="I300" s="6">
        <f t="shared" si="147"/>
        <v>308323894</v>
      </c>
      <c r="J300" s="6">
        <f t="shared" si="132"/>
        <v>8864990</v>
      </c>
      <c r="K300" s="6">
        <f t="shared" si="147"/>
        <v>0</v>
      </c>
      <c r="L300" s="6">
        <f t="shared" si="147"/>
        <v>308323894</v>
      </c>
      <c r="M300" s="6">
        <f t="shared" si="147"/>
        <v>0</v>
      </c>
      <c r="N300" s="6">
        <f t="shared" si="147"/>
        <v>0</v>
      </c>
      <c r="O300" s="6">
        <f t="shared" si="147"/>
        <v>308323894</v>
      </c>
      <c r="P300" s="6">
        <f t="shared" si="147"/>
        <v>0</v>
      </c>
      <c r="Q300" s="6">
        <f t="shared" si="133"/>
        <v>8864990</v>
      </c>
      <c r="R300" s="6">
        <f t="shared" si="147"/>
        <v>308323894</v>
      </c>
      <c r="T300" s="183" t="s">
        <v>525</v>
      </c>
      <c r="U300" s="259" t="s">
        <v>526</v>
      </c>
      <c r="V300" s="261">
        <v>317188884</v>
      </c>
      <c r="W300" s="261">
        <v>0</v>
      </c>
      <c r="X300" s="261">
        <v>0</v>
      </c>
      <c r="Y300" s="261">
        <v>0</v>
      </c>
      <c r="Z300" s="261">
        <v>317188884</v>
      </c>
      <c r="AA300" s="261">
        <v>0</v>
      </c>
      <c r="AB300" s="261">
        <v>308323894</v>
      </c>
      <c r="AC300" s="261">
        <v>8864990</v>
      </c>
      <c r="AD300" s="261">
        <v>0</v>
      </c>
      <c r="AE300" s="261">
        <v>308323894</v>
      </c>
      <c r="AF300" s="261">
        <v>0</v>
      </c>
      <c r="AG300" s="261">
        <v>0</v>
      </c>
      <c r="AH300" s="261">
        <v>308323894</v>
      </c>
      <c r="AI300" s="261">
        <v>0</v>
      </c>
      <c r="AJ300" s="261">
        <v>8864990</v>
      </c>
      <c r="AK300" s="261">
        <v>150000</v>
      </c>
      <c r="AL300" s="261">
        <v>35026367.759999998</v>
      </c>
      <c r="AM300" s="261">
        <v>38004837.759999998</v>
      </c>
      <c r="AN300" s="261">
        <v>37854837.759999998</v>
      </c>
      <c r="AO300" s="261">
        <v>500000</v>
      </c>
      <c r="AP300" s="261">
        <v>40375462.240000002</v>
      </c>
      <c r="AQ300" s="6"/>
      <c r="AS300" s="6"/>
    </row>
    <row r="301" spans="1:45" s="1" customFormat="1" x14ac:dyDescent="0.25">
      <c r="A301" s="7" t="s">
        <v>527</v>
      </c>
      <c r="B301" s="8" t="s">
        <v>528</v>
      </c>
      <c r="C301" s="9">
        <f>+C302</f>
        <v>317188884</v>
      </c>
      <c r="D301" s="9">
        <f t="shared" si="147"/>
        <v>0</v>
      </c>
      <c r="E301" s="9">
        <f t="shared" si="147"/>
        <v>0</v>
      </c>
      <c r="F301" s="9">
        <f t="shared" si="147"/>
        <v>0</v>
      </c>
      <c r="G301" s="9">
        <f t="shared" si="147"/>
        <v>317188884</v>
      </c>
      <c r="H301" s="9">
        <f t="shared" si="147"/>
        <v>0</v>
      </c>
      <c r="I301" s="9">
        <f t="shared" si="147"/>
        <v>308323894</v>
      </c>
      <c r="J301" s="9">
        <f t="shared" si="132"/>
        <v>8864990</v>
      </c>
      <c r="K301" s="9">
        <f t="shared" si="147"/>
        <v>0</v>
      </c>
      <c r="L301" s="9">
        <f t="shared" si="147"/>
        <v>308323894</v>
      </c>
      <c r="M301" s="9">
        <f t="shared" si="147"/>
        <v>0</v>
      </c>
      <c r="N301" s="9">
        <f t="shared" si="147"/>
        <v>0</v>
      </c>
      <c r="O301" s="9">
        <f t="shared" si="147"/>
        <v>308323894</v>
      </c>
      <c r="P301" s="9">
        <f t="shared" si="147"/>
        <v>0</v>
      </c>
      <c r="Q301" s="9">
        <f t="shared" si="133"/>
        <v>8864990</v>
      </c>
      <c r="R301" s="9">
        <f t="shared" si="147"/>
        <v>308323894</v>
      </c>
      <c r="T301" s="183" t="s">
        <v>527</v>
      </c>
      <c r="U301" s="259" t="s">
        <v>528</v>
      </c>
      <c r="V301" s="261">
        <v>317188884</v>
      </c>
      <c r="W301" s="261">
        <v>0</v>
      </c>
      <c r="X301" s="261">
        <v>0</v>
      </c>
      <c r="Y301" s="261">
        <v>0</v>
      </c>
      <c r="Z301" s="261">
        <v>317188884</v>
      </c>
      <c r="AA301" s="261">
        <v>0</v>
      </c>
      <c r="AB301" s="261">
        <v>308323894</v>
      </c>
      <c r="AC301" s="261">
        <v>8864990</v>
      </c>
      <c r="AD301" s="261">
        <v>0</v>
      </c>
      <c r="AE301" s="261">
        <v>308323894</v>
      </c>
      <c r="AF301" s="261">
        <v>0</v>
      </c>
      <c r="AG301" s="261">
        <v>0</v>
      </c>
      <c r="AH301" s="261">
        <v>308323894</v>
      </c>
      <c r="AI301" s="261">
        <v>0</v>
      </c>
      <c r="AJ301" s="261">
        <v>8864990</v>
      </c>
      <c r="AK301" s="261">
        <v>0</v>
      </c>
      <c r="AL301" s="261">
        <v>0</v>
      </c>
      <c r="AM301" s="261">
        <v>308323894</v>
      </c>
      <c r="AN301" s="261">
        <v>308323894</v>
      </c>
      <c r="AO301" s="261">
        <v>0</v>
      </c>
      <c r="AP301" s="261">
        <v>8864990</v>
      </c>
      <c r="AQ301" s="9"/>
      <c r="AS301" s="9"/>
    </row>
    <row r="302" spans="1:45" s="1" customFormat="1" x14ac:dyDescent="0.25">
      <c r="A302" s="2" t="s">
        <v>529</v>
      </c>
      <c r="B302" s="259" t="s">
        <v>528</v>
      </c>
      <c r="C302" s="261">
        <v>317188884</v>
      </c>
      <c r="D302" s="261">
        <v>0</v>
      </c>
      <c r="E302" s="261">
        <v>0</v>
      </c>
      <c r="F302" s="261">
        <v>0</v>
      </c>
      <c r="G302" s="261">
        <f>+C302+D302-E302+F302</f>
        <v>317188884</v>
      </c>
      <c r="H302" s="261">
        <v>0</v>
      </c>
      <c r="I302" s="261">
        <v>308323894</v>
      </c>
      <c r="J302" s="261">
        <f t="shared" si="132"/>
        <v>8864990</v>
      </c>
      <c r="K302" s="261">
        <v>0</v>
      </c>
      <c r="L302" s="261">
        <v>308323894</v>
      </c>
      <c r="M302" s="261">
        <f>+I302-L302</f>
        <v>0</v>
      </c>
      <c r="N302" s="261">
        <v>0</v>
      </c>
      <c r="O302" s="261">
        <v>308323894</v>
      </c>
      <c r="P302" s="261">
        <f>+O302-I302</f>
        <v>0</v>
      </c>
      <c r="Q302" s="177">
        <f t="shared" si="133"/>
        <v>8864990</v>
      </c>
      <c r="R302" s="261">
        <f>+L302</f>
        <v>308323894</v>
      </c>
      <c r="S302" s="257"/>
      <c r="T302" s="183" t="s">
        <v>529</v>
      </c>
      <c r="U302" s="259" t="s">
        <v>528</v>
      </c>
      <c r="V302" s="261">
        <v>317188884</v>
      </c>
      <c r="W302" s="261">
        <v>0</v>
      </c>
      <c r="X302" s="261">
        <v>0</v>
      </c>
      <c r="Y302" s="261">
        <v>0</v>
      </c>
      <c r="Z302" s="261">
        <v>317188884</v>
      </c>
      <c r="AA302" s="261">
        <v>0</v>
      </c>
      <c r="AB302" s="261">
        <v>308323894</v>
      </c>
      <c r="AC302" s="261">
        <v>8864990</v>
      </c>
      <c r="AD302" s="261">
        <v>0</v>
      </c>
      <c r="AE302" s="261">
        <v>308323894</v>
      </c>
      <c r="AF302" s="261">
        <v>0</v>
      </c>
      <c r="AG302" s="261">
        <v>0</v>
      </c>
      <c r="AH302" s="261">
        <v>308323894</v>
      </c>
      <c r="AI302" s="261">
        <v>0</v>
      </c>
      <c r="AJ302" s="261">
        <v>8864990</v>
      </c>
      <c r="AK302" s="261">
        <v>0</v>
      </c>
      <c r="AL302" s="261">
        <v>0</v>
      </c>
      <c r="AM302" s="261">
        <v>308323894</v>
      </c>
      <c r="AN302" s="261">
        <v>308323894</v>
      </c>
      <c r="AO302" s="261">
        <v>0</v>
      </c>
      <c r="AP302" s="261">
        <v>8864990</v>
      </c>
      <c r="AQ302" s="261"/>
      <c r="AS302" s="261"/>
    </row>
    <row r="303" spans="1:45" x14ac:dyDescent="0.25">
      <c r="A303" s="4">
        <v>3</v>
      </c>
      <c r="B303" s="5" t="s">
        <v>530</v>
      </c>
      <c r="C303" s="6">
        <f>+C304+C345+C432+C444+C580+C469</f>
        <v>14631722900</v>
      </c>
      <c r="D303" s="6">
        <f t="shared" ref="D303:R303" si="148">+D304+D345+D432+D444+D580+D469</f>
        <v>692192681</v>
      </c>
      <c r="E303" s="6">
        <f t="shared" si="148"/>
        <v>204467681</v>
      </c>
      <c r="F303" s="6">
        <f t="shared" si="148"/>
        <v>30533106865.73</v>
      </c>
      <c r="G303" s="6">
        <f t="shared" si="148"/>
        <v>45652554765.729996</v>
      </c>
      <c r="H303" s="6">
        <f t="shared" si="148"/>
        <v>3589598433.9899998</v>
      </c>
      <c r="I303" s="6">
        <f t="shared" si="148"/>
        <v>12585275380.280003</v>
      </c>
      <c r="J303" s="6">
        <f t="shared" si="132"/>
        <v>33067279385.449993</v>
      </c>
      <c r="K303" s="6">
        <f t="shared" si="148"/>
        <v>1340523336</v>
      </c>
      <c r="L303" s="6">
        <f t="shared" si="148"/>
        <v>4816348152.0900002</v>
      </c>
      <c r="M303" s="6">
        <f t="shared" si="148"/>
        <v>6627450175.2699995</v>
      </c>
      <c r="N303" s="6">
        <f t="shared" si="148"/>
        <v>4339055546.2800007</v>
      </c>
      <c r="O303" s="6">
        <f t="shared" si="148"/>
        <v>21287497944.299999</v>
      </c>
      <c r="P303" s="6">
        <f t="shared" si="148"/>
        <v>6336735336.6499996</v>
      </c>
      <c r="Q303" s="6">
        <f t="shared" si="133"/>
        <v>24365056821.429996</v>
      </c>
      <c r="R303" s="6">
        <f t="shared" si="148"/>
        <v>4346954720.3499994</v>
      </c>
      <c r="S303" s="1"/>
      <c r="T303" s="185">
        <v>3</v>
      </c>
      <c r="U303" s="259" t="s">
        <v>530</v>
      </c>
      <c r="V303" s="261">
        <v>14611722900</v>
      </c>
      <c r="W303" s="261">
        <v>692192681</v>
      </c>
      <c r="X303" s="261">
        <v>204467681</v>
      </c>
      <c r="Y303" s="261">
        <v>30063259806.730003</v>
      </c>
      <c r="Z303" s="261">
        <v>45162707706.730003</v>
      </c>
      <c r="AA303" s="261">
        <v>3539848433.9899998</v>
      </c>
      <c r="AB303" s="261">
        <v>12205958790.83</v>
      </c>
      <c r="AC303" s="261">
        <v>32956748915.900002</v>
      </c>
      <c r="AD303" s="261">
        <v>1251152940</v>
      </c>
      <c r="AE303" s="261">
        <v>4564714852.0900002</v>
      </c>
      <c r="AF303" s="261">
        <v>8026664742.7399998</v>
      </c>
      <c r="AG303" s="261">
        <v>4303805546.2799997</v>
      </c>
      <c r="AH303" s="261">
        <v>20878961644.299995</v>
      </c>
      <c r="AI303" s="261">
        <v>8673002853.4699955</v>
      </c>
      <c r="AJ303" s="261">
        <v>24283746062.430008</v>
      </c>
      <c r="AK303" s="261">
        <v>0</v>
      </c>
      <c r="AL303" s="261">
        <v>0</v>
      </c>
      <c r="AM303" s="261">
        <v>308323894</v>
      </c>
      <c r="AN303" s="261">
        <v>308323894</v>
      </c>
      <c r="AO303" s="261">
        <v>0</v>
      </c>
      <c r="AP303" s="261">
        <v>8864990</v>
      </c>
      <c r="AQ303" s="6"/>
      <c r="AS303" s="6"/>
    </row>
    <row r="304" spans="1:45" s="1" customFormat="1" x14ac:dyDescent="0.25">
      <c r="A304" s="4">
        <v>301</v>
      </c>
      <c r="B304" s="5" t="s">
        <v>531</v>
      </c>
      <c r="C304" s="6">
        <f>+C305+C317+C329+C340</f>
        <v>4575000000</v>
      </c>
      <c r="D304" s="6">
        <f t="shared" ref="D304:R304" si="149">+D305+D317+D329+D340</f>
        <v>0</v>
      </c>
      <c r="E304" s="6">
        <f t="shared" si="149"/>
        <v>0</v>
      </c>
      <c r="F304" s="6">
        <f t="shared" si="149"/>
        <v>0</v>
      </c>
      <c r="G304" s="6">
        <f t="shared" si="149"/>
        <v>4575000000</v>
      </c>
      <c r="H304" s="6">
        <f t="shared" si="149"/>
        <v>212255236</v>
      </c>
      <c r="I304" s="6">
        <f t="shared" si="149"/>
        <v>1321278045.75</v>
      </c>
      <c r="J304" s="6">
        <f t="shared" si="132"/>
        <v>3253721954.25</v>
      </c>
      <c r="K304" s="6">
        <f t="shared" si="149"/>
        <v>117355386</v>
      </c>
      <c r="L304" s="6">
        <f t="shared" si="149"/>
        <v>1157043848.75</v>
      </c>
      <c r="M304" s="6">
        <f t="shared" si="149"/>
        <v>164234197</v>
      </c>
      <c r="N304" s="6">
        <f t="shared" si="149"/>
        <v>280927265</v>
      </c>
      <c r="O304" s="6">
        <f t="shared" si="149"/>
        <v>1424864617.75</v>
      </c>
      <c r="P304" s="6">
        <f t="shared" si="149"/>
        <v>103586572</v>
      </c>
      <c r="Q304" s="6">
        <f t="shared" si="133"/>
        <v>3150135382.25</v>
      </c>
      <c r="R304" s="6">
        <f t="shared" si="149"/>
        <v>1157043848.75</v>
      </c>
      <c r="T304" s="185">
        <v>301</v>
      </c>
      <c r="U304" s="259" t="s">
        <v>531</v>
      </c>
      <c r="V304" s="261">
        <v>4575000000</v>
      </c>
      <c r="W304" s="261">
        <v>0</v>
      </c>
      <c r="X304" s="261">
        <v>0</v>
      </c>
      <c r="Y304" s="261">
        <v>0</v>
      </c>
      <c r="Z304" s="261">
        <v>4575000000</v>
      </c>
      <c r="AA304" s="261">
        <v>212255236</v>
      </c>
      <c r="AB304" s="261">
        <v>1321278045.75</v>
      </c>
      <c r="AC304" s="261">
        <v>3253721954.25</v>
      </c>
      <c r="AD304" s="261">
        <v>117355386</v>
      </c>
      <c r="AE304" s="261">
        <v>1157043848.75</v>
      </c>
      <c r="AF304" s="261">
        <v>416882194</v>
      </c>
      <c r="AG304" s="261">
        <v>280927265</v>
      </c>
      <c r="AH304" s="261">
        <v>1424864617.75</v>
      </c>
      <c r="AI304" s="261">
        <v>103586572</v>
      </c>
      <c r="AJ304" s="261">
        <v>3150135382.25</v>
      </c>
      <c r="AK304" s="261">
        <v>677353637.63</v>
      </c>
      <c r="AL304" s="261">
        <v>3206635222.2799997</v>
      </c>
      <c r="AM304" s="261">
        <v>20462535323.93</v>
      </c>
      <c r="AN304" s="261">
        <v>19785181686.299999</v>
      </c>
      <c r="AO304" s="261">
        <v>8989520430.4699993</v>
      </c>
      <c r="AP304" s="261">
        <v>25438120231.869999</v>
      </c>
      <c r="AQ304" s="6"/>
      <c r="AS304" s="6"/>
    </row>
    <row r="305" spans="1:45" s="1" customFormat="1" x14ac:dyDescent="0.25">
      <c r="A305" s="4">
        <v>30101</v>
      </c>
      <c r="B305" s="5" t="s">
        <v>532</v>
      </c>
      <c r="C305" s="6">
        <f>+C306+C308</f>
        <v>480000000</v>
      </c>
      <c r="D305" s="6">
        <f t="shared" ref="D305:R305" si="150">+D306+D308</f>
        <v>0</v>
      </c>
      <c r="E305" s="6">
        <f t="shared" si="150"/>
        <v>0</v>
      </c>
      <c r="F305" s="6">
        <f t="shared" si="150"/>
        <v>0</v>
      </c>
      <c r="G305" s="6">
        <f t="shared" si="150"/>
        <v>480000000</v>
      </c>
      <c r="H305" s="6">
        <f t="shared" si="150"/>
        <v>0</v>
      </c>
      <c r="I305" s="6">
        <f t="shared" si="150"/>
        <v>55475717</v>
      </c>
      <c r="J305" s="6">
        <f t="shared" si="132"/>
        <v>424524283</v>
      </c>
      <c r="K305" s="6">
        <f t="shared" si="150"/>
        <v>2582805</v>
      </c>
      <c r="L305" s="6">
        <f t="shared" si="150"/>
        <v>34775717</v>
      </c>
      <c r="M305" s="6">
        <f t="shared" si="150"/>
        <v>20700000</v>
      </c>
      <c r="N305" s="6">
        <f t="shared" si="150"/>
        <v>0</v>
      </c>
      <c r="O305" s="6">
        <f t="shared" si="150"/>
        <v>55566377</v>
      </c>
      <c r="P305" s="6">
        <f t="shared" si="150"/>
        <v>90660</v>
      </c>
      <c r="Q305" s="6">
        <f t="shared" si="133"/>
        <v>424433623</v>
      </c>
      <c r="R305" s="6">
        <f t="shared" si="150"/>
        <v>34775717</v>
      </c>
      <c r="T305" s="185">
        <v>30101</v>
      </c>
      <c r="U305" s="259" t="s">
        <v>532</v>
      </c>
      <c r="V305" s="261">
        <v>480000000</v>
      </c>
      <c r="W305" s="261">
        <v>0</v>
      </c>
      <c r="X305" s="261">
        <v>0</v>
      </c>
      <c r="Y305" s="261">
        <v>0</v>
      </c>
      <c r="Z305" s="261">
        <v>480000000</v>
      </c>
      <c r="AA305" s="261">
        <v>0</v>
      </c>
      <c r="AB305" s="261">
        <v>55475717</v>
      </c>
      <c r="AC305" s="261">
        <v>424524283</v>
      </c>
      <c r="AD305" s="261">
        <v>2582805</v>
      </c>
      <c r="AE305" s="261">
        <v>34775717</v>
      </c>
      <c r="AF305" s="261">
        <v>20700000</v>
      </c>
      <c r="AG305" s="261">
        <v>0</v>
      </c>
      <c r="AH305" s="261">
        <v>55566377</v>
      </c>
      <c r="AI305" s="261">
        <v>90660</v>
      </c>
      <c r="AJ305" s="261">
        <v>424433623</v>
      </c>
      <c r="AK305" s="261">
        <v>221800047</v>
      </c>
      <c r="AL305" s="261">
        <v>193075000</v>
      </c>
      <c r="AM305" s="261">
        <v>1559602765.75</v>
      </c>
      <c r="AN305" s="261">
        <v>1337802718.75</v>
      </c>
      <c r="AO305" s="261">
        <v>20087615</v>
      </c>
      <c r="AP305" s="261">
        <v>3237197281.25</v>
      </c>
      <c r="AQ305" s="6"/>
      <c r="AS305" s="6"/>
    </row>
    <row r="306" spans="1:45" x14ac:dyDescent="0.25">
      <c r="A306" s="7">
        <v>3010101</v>
      </c>
      <c r="B306" s="8" t="s">
        <v>533</v>
      </c>
      <c r="C306" s="9">
        <f>+C307</f>
        <v>80000000</v>
      </c>
      <c r="D306" s="9">
        <f t="shared" ref="D306:R306" si="151">+D307</f>
        <v>0</v>
      </c>
      <c r="E306" s="9">
        <f t="shared" si="151"/>
        <v>0</v>
      </c>
      <c r="F306" s="9">
        <f t="shared" si="151"/>
        <v>0</v>
      </c>
      <c r="G306" s="9">
        <f t="shared" si="151"/>
        <v>80000000</v>
      </c>
      <c r="H306" s="9">
        <f t="shared" si="151"/>
        <v>0</v>
      </c>
      <c r="I306" s="9">
        <f t="shared" si="151"/>
        <v>0</v>
      </c>
      <c r="J306" s="9">
        <f t="shared" si="132"/>
        <v>80000000</v>
      </c>
      <c r="K306" s="9">
        <f t="shared" si="151"/>
        <v>0</v>
      </c>
      <c r="L306" s="9">
        <f t="shared" si="151"/>
        <v>0</v>
      </c>
      <c r="M306" s="9">
        <f t="shared" si="151"/>
        <v>0</v>
      </c>
      <c r="N306" s="9">
        <f t="shared" si="151"/>
        <v>0</v>
      </c>
      <c r="O306" s="9">
        <f t="shared" si="151"/>
        <v>0</v>
      </c>
      <c r="P306" s="9">
        <f t="shared" si="151"/>
        <v>0</v>
      </c>
      <c r="Q306" s="9">
        <f t="shared" si="133"/>
        <v>80000000</v>
      </c>
      <c r="R306" s="9">
        <f t="shared" si="151"/>
        <v>0</v>
      </c>
      <c r="S306" s="1"/>
      <c r="T306" s="185">
        <v>3010101</v>
      </c>
      <c r="U306" s="259" t="s">
        <v>533</v>
      </c>
      <c r="V306" s="261">
        <v>80000000</v>
      </c>
      <c r="W306" s="261">
        <v>0</v>
      </c>
      <c r="X306" s="261">
        <v>0</v>
      </c>
      <c r="Y306" s="261">
        <v>0</v>
      </c>
      <c r="Z306" s="261">
        <v>80000000</v>
      </c>
      <c r="AA306" s="261">
        <v>0</v>
      </c>
      <c r="AB306" s="261">
        <v>0</v>
      </c>
      <c r="AC306" s="261">
        <v>80000000</v>
      </c>
      <c r="AD306" s="261">
        <v>0</v>
      </c>
      <c r="AE306" s="261">
        <v>0</v>
      </c>
      <c r="AF306" s="261">
        <v>0</v>
      </c>
      <c r="AG306" s="261">
        <v>0</v>
      </c>
      <c r="AH306" s="261">
        <v>0</v>
      </c>
      <c r="AI306" s="261">
        <v>0</v>
      </c>
      <c r="AJ306" s="261">
        <v>80000000</v>
      </c>
      <c r="AK306" s="261">
        <v>0</v>
      </c>
      <c r="AL306" s="261">
        <v>0</v>
      </c>
      <c r="AM306" s="261">
        <v>55566377</v>
      </c>
      <c r="AN306" s="261">
        <v>55566377</v>
      </c>
      <c r="AO306" s="261">
        <v>90660</v>
      </c>
      <c r="AP306" s="261">
        <v>424433623</v>
      </c>
      <c r="AQ306" s="9"/>
      <c r="AS306" s="9"/>
    </row>
    <row r="307" spans="1:45" x14ac:dyDescent="0.25">
      <c r="A307" s="204">
        <v>301010101</v>
      </c>
      <c r="B307" s="259" t="s">
        <v>534</v>
      </c>
      <c r="C307" s="261">
        <v>80000000</v>
      </c>
      <c r="D307" s="261">
        <v>0</v>
      </c>
      <c r="E307" s="261">
        <v>0</v>
      </c>
      <c r="F307" s="261">
        <v>0</v>
      </c>
      <c r="G307" s="261">
        <f>+C307+D307-E307+F307</f>
        <v>80000000</v>
      </c>
      <c r="H307" s="261">
        <v>0</v>
      </c>
      <c r="I307" s="261">
        <v>0</v>
      </c>
      <c r="J307" s="261">
        <f t="shared" si="132"/>
        <v>80000000</v>
      </c>
      <c r="K307" s="261">
        <v>0</v>
      </c>
      <c r="L307" s="261">
        <v>0</v>
      </c>
      <c r="M307" s="261">
        <f>+I307-L307</f>
        <v>0</v>
      </c>
      <c r="N307" s="261">
        <v>0</v>
      </c>
      <c r="O307" s="261">
        <v>0</v>
      </c>
      <c r="P307" s="261">
        <f>+O307-I307</f>
        <v>0</v>
      </c>
      <c r="Q307" s="177">
        <f t="shared" si="133"/>
        <v>80000000</v>
      </c>
      <c r="R307" s="261">
        <f>+L307</f>
        <v>0</v>
      </c>
      <c r="T307" s="185">
        <v>301010101</v>
      </c>
      <c r="U307" s="259" t="s">
        <v>534</v>
      </c>
      <c r="V307" s="261">
        <v>80000000</v>
      </c>
      <c r="W307" s="261">
        <v>0</v>
      </c>
      <c r="X307" s="261">
        <v>0</v>
      </c>
      <c r="Y307" s="261">
        <v>0</v>
      </c>
      <c r="Z307" s="261">
        <v>80000000</v>
      </c>
      <c r="AA307" s="261">
        <v>0</v>
      </c>
      <c r="AB307" s="261">
        <v>0</v>
      </c>
      <c r="AC307" s="261">
        <v>80000000</v>
      </c>
      <c r="AD307" s="261">
        <v>0</v>
      </c>
      <c r="AE307" s="261">
        <v>0</v>
      </c>
      <c r="AF307" s="261">
        <v>0</v>
      </c>
      <c r="AG307" s="261">
        <v>0</v>
      </c>
      <c r="AH307" s="261">
        <v>0</v>
      </c>
      <c r="AI307" s="261">
        <v>0</v>
      </c>
      <c r="AJ307" s="261">
        <v>80000000</v>
      </c>
      <c r="AK307" s="261">
        <v>0</v>
      </c>
      <c r="AL307" s="261">
        <v>0</v>
      </c>
      <c r="AM307" s="261">
        <v>0</v>
      </c>
      <c r="AN307" s="261">
        <v>0</v>
      </c>
      <c r="AO307" s="261">
        <v>0</v>
      </c>
      <c r="AP307" s="261">
        <v>80000000</v>
      </c>
      <c r="AQ307" s="261"/>
      <c r="AS307" s="261"/>
    </row>
    <row r="308" spans="1:45" s="1" customFormat="1" x14ac:dyDescent="0.25">
      <c r="A308" s="7">
        <v>3010102</v>
      </c>
      <c r="B308" s="8" t="s">
        <v>535</v>
      </c>
      <c r="C308" s="9">
        <f>+C309+C312+C315</f>
        <v>400000000</v>
      </c>
      <c r="D308" s="9">
        <f t="shared" ref="D308:R308" si="152">+D309+D312+D315</f>
        <v>0</v>
      </c>
      <c r="E308" s="9">
        <f t="shared" si="152"/>
        <v>0</v>
      </c>
      <c r="F308" s="9">
        <f t="shared" si="152"/>
        <v>0</v>
      </c>
      <c r="G308" s="9">
        <f t="shared" si="152"/>
        <v>400000000</v>
      </c>
      <c r="H308" s="9">
        <f t="shared" si="152"/>
        <v>0</v>
      </c>
      <c r="I308" s="9">
        <f t="shared" si="152"/>
        <v>55475717</v>
      </c>
      <c r="J308" s="9">
        <f t="shared" si="132"/>
        <v>344524283</v>
      </c>
      <c r="K308" s="9">
        <f t="shared" si="152"/>
        <v>2582805</v>
      </c>
      <c r="L308" s="9">
        <f t="shared" si="152"/>
        <v>34775717</v>
      </c>
      <c r="M308" s="9">
        <f t="shared" si="152"/>
        <v>20700000</v>
      </c>
      <c r="N308" s="9">
        <f t="shared" si="152"/>
        <v>0</v>
      </c>
      <c r="O308" s="9">
        <f t="shared" si="152"/>
        <v>55566377</v>
      </c>
      <c r="P308" s="9">
        <f t="shared" si="152"/>
        <v>90660</v>
      </c>
      <c r="Q308" s="9">
        <f t="shared" si="133"/>
        <v>344433623</v>
      </c>
      <c r="R308" s="9">
        <f t="shared" si="152"/>
        <v>34775717</v>
      </c>
      <c r="T308" s="185">
        <v>3010102</v>
      </c>
      <c r="U308" s="259" t="s">
        <v>535</v>
      </c>
      <c r="V308" s="261">
        <v>400000000</v>
      </c>
      <c r="W308" s="261">
        <v>0</v>
      </c>
      <c r="X308" s="261">
        <v>0</v>
      </c>
      <c r="Y308" s="261">
        <v>0</v>
      </c>
      <c r="Z308" s="261">
        <v>400000000</v>
      </c>
      <c r="AA308" s="261">
        <v>0</v>
      </c>
      <c r="AB308" s="261">
        <v>55475717</v>
      </c>
      <c r="AC308" s="261">
        <v>344524283</v>
      </c>
      <c r="AD308" s="261">
        <v>2582805</v>
      </c>
      <c r="AE308" s="261">
        <v>34775717</v>
      </c>
      <c r="AF308" s="261">
        <v>20700000</v>
      </c>
      <c r="AG308" s="261">
        <v>0</v>
      </c>
      <c r="AH308" s="261">
        <v>55566377</v>
      </c>
      <c r="AI308" s="261">
        <v>90660</v>
      </c>
      <c r="AJ308" s="261">
        <v>344433623</v>
      </c>
      <c r="AK308" s="261">
        <v>0</v>
      </c>
      <c r="AL308" s="261">
        <v>0</v>
      </c>
      <c r="AM308" s="261">
        <v>0</v>
      </c>
      <c r="AN308" s="261">
        <v>0</v>
      </c>
      <c r="AO308" s="261">
        <v>0</v>
      </c>
      <c r="AP308" s="261">
        <v>80000000</v>
      </c>
      <c r="AQ308" s="9"/>
      <c r="AS308" s="9"/>
    </row>
    <row r="309" spans="1:45" x14ac:dyDescent="0.25">
      <c r="A309" s="7">
        <v>301010201</v>
      </c>
      <c r="B309" s="8" t="s">
        <v>536</v>
      </c>
      <c r="C309" s="9">
        <f>+C310+C311</f>
        <v>260000000</v>
      </c>
      <c r="D309" s="9">
        <f t="shared" ref="D309:R309" si="153">+D310+D311</f>
        <v>0</v>
      </c>
      <c r="E309" s="9">
        <f t="shared" si="153"/>
        <v>0</v>
      </c>
      <c r="F309" s="9">
        <f t="shared" si="153"/>
        <v>0</v>
      </c>
      <c r="G309" s="9">
        <f t="shared" si="153"/>
        <v>260000000</v>
      </c>
      <c r="H309" s="9">
        <f t="shared" si="153"/>
        <v>0</v>
      </c>
      <c r="I309" s="9">
        <f t="shared" si="153"/>
        <v>55475717</v>
      </c>
      <c r="J309" s="9">
        <f t="shared" si="132"/>
        <v>204524283</v>
      </c>
      <c r="K309" s="9">
        <f t="shared" si="153"/>
        <v>2582805</v>
      </c>
      <c r="L309" s="9">
        <f t="shared" si="153"/>
        <v>34775717</v>
      </c>
      <c r="M309" s="9">
        <f t="shared" si="153"/>
        <v>20700000</v>
      </c>
      <c r="N309" s="9">
        <f t="shared" si="153"/>
        <v>0</v>
      </c>
      <c r="O309" s="9">
        <f t="shared" si="153"/>
        <v>55566377</v>
      </c>
      <c r="P309" s="9">
        <f t="shared" si="153"/>
        <v>90660</v>
      </c>
      <c r="Q309" s="9">
        <f t="shared" si="133"/>
        <v>204433623</v>
      </c>
      <c r="R309" s="9">
        <f t="shared" si="153"/>
        <v>34775717</v>
      </c>
      <c r="S309" s="1"/>
      <c r="T309" s="185">
        <v>301010201</v>
      </c>
      <c r="U309" s="259" t="s">
        <v>536</v>
      </c>
      <c r="V309" s="261">
        <v>260000000</v>
      </c>
      <c r="W309" s="261">
        <v>0</v>
      </c>
      <c r="X309" s="261">
        <v>0</v>
      </c>
      <c r="Y309" s="261">
        <v>0</v>
      </c>
      <c r="Z309" s="261">
        <v>260000000</v>
      </c>
      <c r="AA309" s="261">
        <v>0</v>
      </c>
      <c r="AB309" s="261">
        <v>55475717</v>
      </c>
      <c r="AC309" s="261">
        <v>204524283</v>
      </c>
      <c r="AD309" s="261">
        <v>2582805</v>
      </c>
      <c r="AE309" s="261">
        <v>34775717</v>
      </c>
      <c r="AF309" s="261">
        <v>20700000</v>
      </c>
      <c r="AG309" s="261">
        <v>0</v>
      </c>
      <c r="AH309" s="261">
        <v>55566377</v>
      </c>
      <c r="AI309" s="261">
        <v>90660</v>
      </c>
      <c r="AJ309" s="261">
        <v>204433623</v>
      </c>
      <c r="AK309" s="261">
        <v>0</v>
      </c>
      <c r="AL309" s="261">
        <v>0</v>
      </c>
      <c r="AM309" s="261">
        <v>55566377</v>
      </c>
      <c r="AN309" s="261">
        <v>55566377</v>
      </c>
      <c r="AO309" s="261">
        <v>90660</v>
      </c>
      <c r="AP309" s="261">
        <v>344433623</v>
      </c>
      <c r="AQ309" s="9"/>
      <c r="AS309" s="9"/>
    </row>
    <row r="310" spans="1:45" x14ac:dyDescent="0.25">
      <c r="A310" s="205">
        <v>30101020101</v>
      </c>
      <c r="B310" s="259" t="s">
        <v>537</v>
      </c>
      <c r="C310" s="261">
        <v>160000000</v>
      </c>
      <c r="D310" s="261">
        <v>0</v>
      </c>
      <c r="E310" s="261">
        <v>0</v>
      </c>
      <c r="F310" s="261">
        <v>0</v>
      </c>
      <c r="G310" s="261">
        <f>+C310+D310-E310+F310</f>
        <v>160000000</v>
      </c>
      <c r="H310" s="261">
        <v>0</v>
      </c>
      <c r="I310" s="261">
        <v>0</v>
      </c>
      <c r="J310" s="261">
        <f t="shared" si="132"/>
        <v>160000000</v>
      </c>
      <c r="K310" s="261">
        <v>0</v>
      </c>
      <c r="L310" s="261">
        <v>0</v>
      </c>
      <c r="M310" s="261">
        <f>+I310-L310</f>
        <v>0</v>
      </c>
      <c r="N310" s="261">
        <v>0</v>
      </c>
      <c r="O310" s="261">
        <v>0</v>
      </c>
      <c r="P310" s="261">
        <f>+O310-I310</f>
        <v>0</v>
      </c>
      <c r="Q310" s="177">
        <f t="shared" si="133"/>
        <v>160000000</v>
      </c>
      <c r="R310" s="261">
        <f>+L310</f>
        <v>0</v>
      </c>
      <c r="T310" s="185">
        <v>30101020101</v>
      </c>
      <c r="U310" s="259" t="s">
        <v>537</v>
      </c>
      <c r="V310" s="261">
        <v>160000000</v>
      </c>
      <c r="W310" s="261">
        <v>0</v>
      </c>
      <c r="X310" s="261">
        <v>0</v>
      </c>
      <c r="Y310" s="261">
        <v>0</v>
      </c>
      <c r="Z310" s="261">
        <v>160000000</v>
      </c>
      <c r="AA310" s="261">
        <v>0</v>
      </c>
      <c r="AB310" s="261">
        <v>0</v>
      </c>
      <c r="AC310" s="261">
        <v>160000000</v>
      </c>
      <c r="AD310" s="261">
        <v>0</v>
      </c>
      <c r="AE310" s="261">
        <v>0</v>
      </c>
      <c r="AF310" s="261">
        <v>0</v>
      </c>
      <c r="AG310" s="261">
        <v>0</v>
      </c>
      <c r="AH310" s="261">
        <v>0</v>
      </c>
      <c r="AI310" s="261">
        <v>0</v>
      </c>
      <c r="AJ310" s="261">
        <v>160000000</v>
      </c>
      <c r="AK310" s="261">
        <v>0</v>
      </c>
      <c r="AL310" s="261">
        <v>0</v>
      </c>
      <c r="AM310" s="261">
        <v>55566377</v>
      </c>
      <c r="AN310" s="261">
        <v>55566377</v>
      </c>
      <c r="AO310" s="261">
        <v>90660</v>
      </c>
      <c r="AP310" s="261">
        <v>204433623</v>
      </c>
      <c r="AQ310" s="261"/>
      <c r="AS310" s="261"/>
    </row>
    <row r="311" spans="1:45" s="1" customFormat="1" x14ac:dyDescent="0.25">
      <c r="A311" s="204">
        <v>30101020103</v>
      </c>
      <c r="B311" s="259" t="s">
        <v>538</v>
      </c>
      <c r="C311" s="261">
        <v>100000000</v>
      </c>
      <c r="D311" s="261">
        <v>0</v>
      </c>
      <c r="E311" s="261">
        <v>0</v>
      </c>
      <c r="F311" s="261">
        <v>0</v>
      </c>
      <c r="G311" s="261">
        <f>+C311+D311-E311+F311</f>
        <v>100000000</v>
      </c>
      <c r="H311" s="261">
        <v>0</v>
      </c>
      <c r="I311" s="261">
        <v>55475717</v>
      </c>
      <c r="J311" s="261">
        <f t="shared" si="132"/>
        <v>44524283</v>
      </c>
      <c r="K311" s="261">
        <v>2582805</v>
      </c>
      <c r="L311" s="261">
        <v>34775717</v>
      </c>
      <c r="M311" s="261">
        <f>+I311-L311</f>
        <v>20700000</v>
      </c>
      <c r="N311" s="261">
        <v>0</v>
      </c>
      <c r="O311" s="261">
        <v>55566377</v>
      </c>
      <c r="P311" s="261">
        <f>+O311-I311</f>
        <v>90660</v>
      </c>
      <c r="Q311" s="177">
        <f t="shared" si="133"/>
        <v>44433623</v>
      </c>
      <c r="R311" s="261">
        <f>+L311</f>
        <v>34775717</v>
      </c>
      <c r="S311" s="257"/>
      <c r="T311" s="185">
        <v>30101020103</v>
      </c>
      <c r="U311" s="259" t="s">
        <v>538</v>
      </c>
      <c r="V311" s="261">
        <v>100000000</v>
      </c>
      <c r="W311" s="261">
        <v>0</v>
      </c>
      <c r="X311" s="261">
        <v>0</v>
      </c>
      <c r="Y311" s="261">
        <v>0</v>
      </c>
      <c r="Z311" s="261">
        <v>100000000</v>
      </c>
      <c r="AA311" s="261">
        <v>0</v>
      </c>
      <c r="AB311" s="261">
        <v>55475717</v>
      </c>
      <c r="AC311" s="261">
        <v>44524283</v>
      </c>
      <c r="AD311" s="261">
        <v>2582805</v>
      </c>
      <c r="AE311" s="261">
        <v>34775717</v>
      </c>
      <c r="AF311" s="261">
        <v>20700000</v>
      </c>
      <c r="AG311" s="261">
        <v>0</v>
      </c>
      <c r="AH311" s="261">
        <v>55566377</v>
      </c>
      <c r="AI311" s="261">
        <v>90660</v>
      </c>
      <c r="AJ311" s="261">
        <v>44433623</v>
      </c>
      <c r="AK311" s="261">
        <v>0</v>
      </c>
      <c r="AL311" s="261">
        <v>0</v>
      </c>
      <c r="AM311" s="261">
        <v>0</v>
      </c>
      <c r="AN311" s="261">
        <v>0</v>
      </c>
      <c r="AO311" s="261">
        <v>0</v>
      </c>
      <c r="AP311" s="261">
        <v>160000000</v>
      </c>
      <c r="AQ311" s="261"/>
      <c r="AS311" s="261"/>
    </row>
    <row r="312" spans="1:45" x14ac:dyDescent="0.25">
      <c r="A312" s="7">
        <v>301010202</v>
      </c>
      <c r="B312" s="8" t="s">
        <v>539</v>
      </c>
      <c r="C312" s="9">
        <f>+C313+C314</f>
        <v>110000000</v>
      </c>
      <c r="D312" s="9">
        <f t="shared" ref="D312:R312" si="154">+D313+D314</f>
        <v>0</v>
      </c>
      <c r="E312" s="9">
        <f t="shared" si="154"/>
        <v>0</v>
      </c>
      <c r="F312" s="9">
        <f t="shared" si="154"/>
        <v>0</v>
      </c>
      <c r="G312" s="9">
        <f t="shared" si="154"/>
        <v>110000000</v>
      </c>
      <c r="H312" s="9">
        <f t="shared" si="154"/>
        <v>0</v>
      </c>
      <c r="I312" s="9">
        <f t="shared" si="154"/>
        <v>0</v>
      </c>
      <c r="J312" s="9">
        <f t="shared" si="132"/>
        <v>110000000</v>
      </c>
      <c r="K312" s="9">
        <f t="shared" si="154"/>
        <v>0</v>
      </c>
      <c r="L312" s="9">
        <f t="shared" si="154"/>
        <v>0</v>
      </c>
      <c r="M312" s="9">
        <f t="shared" si="154"/>
        <v>0</v>
      </c>
      <c r="N312" s="9">
        <f t="shared" si="154"/>
        <v>0</v>
      </c>
      <c r="O312" s="9">
        <f t="shared" si="154"/>
        <v>0</v>
      </c>
      <c r="P312" s="9">
        <f t="shared" si="154"/>
        <v>0</v>
      </c>
      <c r="Q312" s="9">
        <f t="shared" si="133"/>
        <v>110000000</v>
      </c>
      <c r="R312" s="9">
        <f t="shared" si="154"/>
        <v>0</v>
      </c>
      <c r="S312" s="1"/>
      <c r="T312" s="185">
        <v>301010202</v>
      </c>
      <c r="U312" s="259" t="s">
        <v>539</v>
      </c>
      <c r="V312" s="261">
        <v>110000000</v>
      </c>
      <c r="W312" s="261">
        <v>0</v>
      </c>
      <c r="X312" s="261">
        <v>0</v>
      </c>
      <c r="Y312" s="261">
        <v>0</v>
      </c>
      <c r="Z312" s="261">
        <v>110000000</v>
      </c>
      <c r="AA312" s="261">
        <v>0</v>
      </c>
      <c r="AB312" s="261">
        <v>0</v>
      </c>
      <c r="AC312" s="261">
        <v>110000000</v>
      </c>
      <c r="AD312" s="261">
        <v>0</v>
      </c>
      <c r="AE312" s="261">
        <v>0</v>
      </c>
      <c r="AF312" s="261">
        <v>0</v>
      </c>
      <c r="AG312" s="261">
        <v>0</v>
      </c>
      <c r="AH312" s="261">
        <v>0</v>
      </c>
      <c r="AI312" s="261">
        <v>0</v>
      </c>
      <c r="AJ312" s="261">
        <v>110000000</v>
      </c>
      <c r="AK312" s="261">
        <v>0</v>
      </c>
      <c r="AL312" s="261">
        <v>0</v>
      </c>
      <c r="AM312" s="261">
        <v>55566377</v>
      </c>
      <c r="AN312" s="261">
        <v>55566377</v>
      </c>
      <c r="AO312" s="261">
        <v>90660</v>
      </c>
      <c r="AP312" s="261">
        <v>44433623</v>
      </c>
      <c r="AQ312" s="9"/>
      <c r="AS312" s="9"/>
    </row>
    <row r="313" spans="1:45" s="1" customFormat="1" x14ac:dyDescent="0.25">
      <c r="A313" s="205">
        <v>30101020201</v>
      </c>
      <c r="B313" s="259" t="s">
        <v>540</v>
      </c>
      <c r="C313" s="261">
        <v>60000000</v>
      </c>
      <c r="D313" s="261">
        <v>0</v>
      </c>
      <c r="E313" s="261">
        <v>0</v>
      </c>
      <c r="F313" s="261">
        <v>0</v>
      </c>
      <c r="G313" s="261">
        <f>+C313+D313-E313+F313</f>
        <v>60000000</v>
      </c>
      <c r="H313" s="261">
        <v>0</v>
      </c>
      <c r="I313" s="261">
        <v>0</v>
      </c>
      <c r="J313" s="261">
        <f t="shared" si="132"/>
        <v>60000000</v>
      </c>
      <c r="K313" s="261">
        <v>0</v>
      </c>
      <c r="L313" s="261">
        <v>0</v>
      </c>
      <c r="M313" s="261">
        <f>+I313-L313</f>
        <v>0</v>
      </c>
      <c r="N313" s="261">
        <v>0</v>
      </c>
      <c r="O313" s="261">
        <v>0</v>
      </c>
      <c r="P313" s="261">
        <f>+O313-I313</f>
        <v>0</v>
      </c>
      <c r="Q313" s="177">
        <f t="shared" si="133"/>
        <v>60000000</v>
      </c>
      <c r="R313" s="261">
        <f>+L313</f>
        <v>0</v>
      </c>
      <c r="S313" s="257"/>
      <c r="T313" s="185">
        <v>30101020201</v>
      </c>
      <c r="U313" s="259" t="s">
        <v>540</v>
      </c>
      <c r="V313" s="261">
        <v>110000000</v>
      </c>
      <c r="W313" s="261">
        <v>0</v>
      </c>
      <c r="X313" s="261">
        <v>0</v>
      </c>
      <c r="Y313" s="261">
        <v>0</v>
      </c>
      <c r="Z313" s="261">
        <v>110000000</v>
      </c>
      <c r="AA313" s="261">
        <v>0</v>
      </c>
      <c r="AB313" s="261">
        <v>0</v>
      </c>
      <c r="AC313" s="261">
        <v>110000000</v>
      </c>
      <c r="AD313" s="261">
        <v>0</v>
      </c>
      <c r="AE313" s="261">
        <v>0</v>
      </c>
      <c r="AF313" s="261">
        <v>0</v>
      </c>
      <c r="AG313" s="261">
        <v>0</v>
      </c>
      <c r="AH313" s="261">
        <v>0</v>
      </c>
      <c r="AI313" s="261">
        <v>0</v>
      </c>
      <c r="AJ313" s="261">
        <v>110000000</v>
      </c>
      <c r="AK313" s="261">
        <v>0</v>
      </c>
      <c r="AL313" s="261">
        <v>0</v>
      </c>
      <c r="AM313" s="261">
        <v>0</v>
      </c>
      <c r="AN313" s="261">
        <v>0</v>
      </c>
      <c r="AO313" s="261">
        <v>0</v>
      </c>
      <c r="AP313" s="261">
        <v>110000000</v>
      </c>
      <c r="AQ313" s="261"/>
      <c r="AS313" s="261"/>
    </row>
    <row r="314" spans="1:45" s="1" customFormat="1" x14ac:dyDescent="0.25">
      <c r="A314" s="206">
        <v>30101020202</v>
      </c>
      <c r="B314" s="259" t="s">
        <v>541</v>
      </c>
      <c r="C314" s="261">
        <v>50000000</v>
      </c>
      <c r="D314" s="261">
        <v>0</v>
      </c>
      <c r="E314" s="261">
        <v>0</v>
      </c>
      <c r="F314" s="261">
        <v>0</v>
      </c>
      <c r="G314" s="261">
        <f>+C314+D314-E314+F314</f>
        <v>50000000</v>
      </c>
      <c r="H314" s="261">
        <v>0</v>
      </c>
      <c r="I314" s="261">
        <v>0</v>
      </c>
      <c r="J314" s="261">
        <f t="shared" si="132"/>
        <v>50000000</v>
      </c>
      <c r="K314" s="261">
        <v>0</v>
      </c>
      <c r="L314" s="261">
        <v>0</v>
      </c>
      <c r="M314" s="261">
        <f>+I314-L314</f>
        <v>0</v>
      </c>
      <c r="N314" s="261">
        <v>0</v>
      </c>
      <c r="O314" s="261">
        <v>0</v>
      </c>
      <c r="P314" s="261">
        <f>+O314-I314</f>
        <v>0</v>
      </c>
      <c r="Q314" s="177">
        <f t="shared" si="133"/>
        <v>50000000</v>
      </c>
      <c r="R314" s="261">
        <f>+L314</f>
        <v>0</v>
      </c>
      <c r="S314" s="257"/>
      <c r="T314" s="185">
        <v>30101020202</v>
      </c>
      <c r="U314" s="259" t="s">
        <v>541</v>
      </c>
      <c r="V314" s="261">
        <v>50000000</v>
      </c>
      <c r="W314" s="261">
        <v>0</v>
      </c>
      <c r="X314" s="261">
        <v>0</v>
      </c>
      <c r="Y314" s="261">
        <v>0</v>
      </c>
      <c r="Z314" s="261">
        <v>50000000</v>
      </c>
      <c r="AA314" s="261">
        <v>0</v>
      </c>
      <c r="AB314" s="261">
        <v>0</v>
      </c>
      <c r="AC314" s="261">
        <v>50000000</v>
      </c>
      <c r="AD314" s="261">
        <v>0</v>
      </c>
      <c r="AE314" s="261">
        <v>0</v>
      </c>
      <c r="AF314" s="261">
        <v>0</v>
      </c>
      <c r="AG314" s="261">
        <v>0</v>
      </c>
      <c r="AH314" s="261">
        <v>0</v>
      </c>
      <c r="AI314" s="261">
        <v>0</v>
      </c>
      <c r="AJ314" s="261">
        <v>50000000</v>
      </c>
      <c r="AK314" s="261">
        <v>0</v>
      </c>
      <c r="AL314" s="261">
        <v>0</v>
      </c>
      <c r="AM314" s="261">
        <v>0</v>
      </c>
      <c r="AN314" s="261">
        <v>0</v>
      </c>
      <c r="AO314" s="261">
        <v>0</v>
      </c>
      <c r="AP314" s="261">
        <v>110000000</v>
      </c>
      <c r="AQ314" s="261"/>
      <c r="AS314" s="261"/>
    </row>
    <row r="315" spans="1:45" s="1" customFormat="1" x14ac:dyDescent="0.25">
      <c r="A315" s="7">
        <v>301010203</v>
      </c>
      <c r="B315" s="8" t="s">
        <v>542</v>
      </c>
      <c r="C315" s="9">
        <f>+C316</f>
        <v>30000000</v>
      </c>
      <c r="D315" s="9">
        <f t="shared" ref="D315:R315" si="155">+D316</f>
        <v>0</v>
      </c>
      <c r="E315" s="9">
        <f t="shared" si="155"/>
        <v>0</v>
      </c>
      <c r="F315" s="9">
        <f t="shared" si="155"/>
        <v>0</v>
      </c>
      <c r="G315" s="9">
        <f t="shared" si="155"/>
        <v>30000000</v>
      </c>
      <c r="H315" s="9">
        <f t="shared" si="155"/>
        <v>0</v>
      </c>
      <c r="I315" s="9">
        <f t="shared" si="155"/>
        <v>0</v>
      </c>
      <c r="J315" s="9">
        <f t="shared" si="132"/>
        <v>30000000</v>
      </c>
      <c r="K315" s="9">
        <f t="shared" si="155"/>
        <v>0</v>
      </c>
      <c r="L315" s="9">
        <f t="shared" si="155"/>
        <v>0</v>
      </c>
      <c r="M315" s="9">
        <f t="shared" si="155"/>
        <v>0</v>
      </c>
      <c r="N315" s="9">
        <f t="shared" si="155"/>
        <v>0</v>
      </c>
      <c r="O315" s="9">
        <f t="shared" si="155"/>
        <v>0</v>
      </c>
      <c r="P315" s="9">
        <f t="shared" si="155"/>
        <v>0</v>
      </c>
      <c r="Q315" s="9">
        <f t="shared" si="133"/>
        <v>30000000</v>
      </c>
      <c r="R315" s="9">
        <f t="shared" si="155"/>
        <v>0</v>
      </c>
      <c r="T315" s="185">
        <v>301010203</v>
      </c>
      <c r="U315" s="259" t="s">
        <v>542</v>
      </c>
      <c r="V315" s="261">
        <v>30000000</v>
      </c>
      <c r="W315" s="261">
        <v>0</v>
      </c>
      <c r="X315" s="261">
        <v>0</v>
      </c>
      <c r="Y315" s="261">
        <v>0</v>
      </c>
      <c r="Z315" s="261">
        <v>30000000</v>
      </c>
      <c r="AA315" s="261">
        <v>0</v>
      </c>
      <c r="AB315" s="261">
        <v>0</v>
      </c>
      <c r="AC315" s="261">
        <v>30000000</v>
      </c>
      <c r="AD315" s="261">
        <v>0</v>
      </c>
      <c r="AE315" s="261">
        <v>0</v>
      </c>
      <c r="AF315" s="261">
        <v>0</v>
      </c>
      <c r="AG315" s="261">
        <v>0</v>
      </c>
      <c r="AH315" s="261">
        <v>0</v>
      </c>
      <c r="AI315" s="261">
        <v>0</v>
      </c>
      <c r="AJ315" s="261">
        <v>30000000</v>
      </c>
      <c r="AK315" s="261">
        <v>0</v>
      </c>
      <c r="AL315" s="261">
        <v>0</v>
      </c>
      <c r="AM315" s="261">
        <v>0</v>
      </c>
      <c r="AN315" s="261">
        <v>0</v>
      </c>
      <c r="AO315" s="261">
        <v>0</v>
      </c>
      <c r="AP315" s="261">
        <v>50000000</v>
      </c>
      <c r="AQ315" s="9"/>
      <c r="AS315" s="9"/>
    </row>
    <row r="316" spans="1:45" s="1" customFormat="1" x14ac:dyDescent="0.25">
      <c r="A316" s="206">
        <v>30101020302</v>
      </c>
      <c r="B316" s="259" t="s">
        <v>543</v>
      </c>
      <c r="C316" s="261">
        <v>30000000</v>
      </c>
      <c r="D316" s="261">
        <v>0</v>
      </c>
      <c r="E316" s="261">
        <v>0</v>
      </c>
      <c r="F316" s="261">
        <v>0</v>
      </c>
      <c r="G316" s="261">
        <f>+C316+D316-E316+F316</f>
        <v>30000000</v>
      </c>
      <c r="H316" s="261">
        <v>0</v>
      </c>
      <c r="I316" s="261">
        <v>0</v>
      </c>
      <c r="J316" s="261">
        <f t="shared" si="132"/>
        <v>30000000</v>
      </c>
      <c r="K316" s="261">
        <v>0</v>
      </c>
      <c r="L316" s="261">
        <v>0</v>
      </c>
      <c r="M316" s="261">
        <f>+I316-L316</f>
        <v>0</v>
      </c>
      <c r="N316" s="261">
        <v>0</v>
      </c>
      <c r="O316" s="261">
        <v>0</v>
      </c>
      <c r="P316" s="261">
        <f>+O316-I316</f>
        <v>0</v>
      </c>
      <c r="Q316" s="177">
        <f t="shared" si="133"/>
        <v>30000000</v>
      </c>
      <c r="R316" s="261">
        <f>+L316</f>
        <v>0</v>
      </c>
      <c r="S316" s="257"/>
      <c r="T316" s="185">
        <v>30101020302</v>
      </c>
      <c r="U316" s="259" t="s">
        <v>543</v>
      </c>
      <c r="V316" s="261">
        <v>30000000</v>
      </c>
      <c r="W316" s="261">
        <v>0</v>
      </c>
      <c r="X316" s="261">
        <v>0</v>
      </c>
      <c r="Y316" s="261">
        <v>0</v>
      </c>
      <c r="Z316" s="261">
        <v>30000000</v>
      </c>
      <c r="AA316" s="261">
        <v>0</v>
      </c>
      <c r="AB316" s="261">
        <v>0</v>
      </c>
      <c r="AC316" s="261">
        <v>30000000</v>
      </c>
      <c r="AD316" s="261">
        <v>0</v>
      </c>
      <c r="AE316" s="261">
        <v>0</v>
      </c>
      <c r="AF316" s="261">
        <v>0</v>
      </c>
      <c r="AG316" s="261">
        <v>0</v>
      </c>
      <c r="AH316" s="261">
        <v>0</v>
      </c>
      <c r="AI316" s="261">
        <v>0</v>
      </c>
      <c r="AJ316" s="261">
        <v>30000000</v>
      </c>
      <c r="AK316" s="261">
        <v>0</v>
      </c>
      <c r="AL316" s="261">
        <v>0</v>
      </c>
      <c r="AM316" s="261">
        <v>0</v>
      </c>
      <c r="AN316" s="261">
        <v>0</v>
      </c>
      <c r="AO316" s="261">
        <v>0</v>
      </c>
      <c r="AP316" s="261">
        <v>30000000</v>
      </c>
      <c r="AQ316" s="261"/>
      <c r="AS316" s="261"/>
    </row>
    <row r="317" spans="1:45" x14ac:dyDescent="0.25">
      <c r="A317" s="4">
        <v>30102</v>
      </c>
      <c r="B317" s="5" t="s">
        <v>544</v>
      </c>
      <c r="C317" s="6">
        <f>+C318</f>
        <v>1970000000</v>
      </c>
      <c r="D317" s="6">
        <f t="shared" ref="D317:R317" si="156">+D318</f>
        <v>0</v>
      </c>
      <c r="E317" s="6">
        <f t="shared" si="156"/>
        <v>0</v>
      </c>
      <c r="F317" s="6">
        <f t="shared" si="156"/>
        <v>0</v>
      </c>
      <c r="G317" s="6">
        <f t="shared" si="156"/>
        <v>1970000000</v>
      </c>
      <c r="H317" s="6">
        <f t="shared" si="156"/>
        <v>200855308</v>
      </c>
      <c r="I317" s="6">
        <f t="shared" si="156"/>
        <v>1018235518</v>
      </c>
      <c r="J317" s="6">
        <f t="shared" si="132"/>
        <v>951764482</v>
      </c>
      <c r="K317" s="6">
        <f t="shared" si="156"/>
        <v>88222653</v>
      </c>
      <c r="L317" s="6">
        <f t="shared" si="156"/>
        <v>859881261</v>
      </c>
      <c r="M317" s="6">
        <f t="shared" si="156"/>
        <v>158354257</v>
      </c>
      <c r="N317" s="6">
        <f t="shared" si="156"/>
        <v>196403025</v>
      </c>
      <c r="O317" s="6">
        <f t="shared" si="156"/>
        <v>1012357118</v>
      </c>
      <c r="P317" s="6">
        <f t="shared" si="156"/>
        <v>-5878400</v>
      </c>
      <c r="Q317" s="6">
        <f t="shared" si="133"/>
        <v>957642882</v>
      </c>
      <c r="R317" s="6">
        <f t="shared" si="156"/>
        <v>859881261</v>
      </c>
      <c r="S317" s="1"/>
      <c r="T317" s="185">
        <v>30102</v>
      </c>
      <c r="U317" s="259" t="s">
        <v>544</v>
      </c>
      <c r="V317" s="261">
        <v>1970000000</v>
      </c>
      <c r="W317" s="261">
        <v>0</v>
      </c>
      <c r="X317" s="261">
        <v>0</v>
      </c>
      <c r="Y317" s="261">
        <v>0</v>
      </c>
      <c r="Z317" s="261">
        <v>1970000000</v>
      </c>
      <c r="AA317" s="261">
        <v>200855308</v>
      </c>
      <c r="AB317" s="261">
        <v>1018235518</v>
      </c>
      <c r="AC317" s="261">
        <v>951764482</v>
      </c>
      <c r="AD317" s="261">
        <v>88222653</v>
      </c>
      <c r="AE317" s="261">
        <v>859881261</v>
      </c>
      <c r="AF317" s="261">
        <v>245002254</v>
      </c>
      <c r="AG317" s="261">
        <v>196403025</v>
      </c>
      <c r="AH317" s="261">
        <v>1012357118</v>
      </c>
      <c r="AI317" s="261">
        <v>-5878400</v>
      </c>
      <c r="AJ317" s="261">
        <v>957642882</v>
      </c>
      <c r="AK317" s="261">
        <v>0</v>
      </c>
      <c r="AL317" s="261">
        <v>0</v>
      </c>
      <c r="AM317" s="261">
        <v>0</v>
      </c>
      <c r="AN317" s="261">
        <v>0</v>
      </c>
      <c r="AO317" s="261">
        <v>0</v>
      </c>
      <c r="AP317" s="261">
        <v>30000000</v>
      </c>
      <c r="AQ317" s="6"/>
      <c r="AS317" s="6"/>
    </row>
    <row r="318" spans="1:45" x14ac:dyDescent="0.25">
      <c r="A318" s="7">
        <v>3010201</v>
      </c>
      <c r="B318" s="8" t="s">
        <v>545</v>
      </c>
      <c r="C318" s="9">
        <f>+C319+C326</f>
        <v>1970000000</v>
      </c>
      <c r="D318" s="9">
        <f t="shared" ref="D318:R318" si="157">+D319+D326</f>
        <v>0</v>
      </c>
      <c r="E318" s="9">
        <f t="shared" si="157"/>
        <v>0</v>
      </c>
      <c r="F318" s="9">
        <f t="shared" si="157"/>
        <v>0</v>
      </c>
      <c r="G318" s="9">
        <f t="shared" si="157"/>
        <v>1970000000</v>
      </c>
      <c r="H318" s="9">
        <f t="shared" si="157"/>
        <v>200855308</v>
      </c>
      <c r="I318" s="9">
        <f t="shared" si="157"/>
        <v>1018235518</v>
      </c>
      <c r="J318" s="9">
        <f t="shared" si="132"/>
        <v>951764482</v>
      </c>
      <c r="K318" s="9">
        <f t="shared" si="157"/>
        <v>88222653</v>
      </c>
      <c r="L318" s="9">
        <f t="shared" si="157"/>
        <v>859881261</v>
      </c>
      <c r="M318" s="9">
        <f t="shared" si="157"/>
        <v>158354257</v>
      </c>
      <c r="N318" s="9">
        <f t="shared" si="157"/>
        <v>196403025</v>
      </c>
      <c r="O318" s="9">
        <f t="shared" si="157"/>
        <v>1012357118</v>
      </c>
      <c r="P318" s="9">
        <f t="shared" si="157"/>
        <v>-5878400</v>
      </c>
      <c r="Q318" s="9">
        <f t="shared" si="133"/>
        <v>957642882</v>
      </c>
      <c r="R318" s="9">
        <f t="shared" si="157"/>
        <v>859881261</v>
      </c>
      <c r="S318" s="1"/>
      <c r="T318" s="185">
        <v>3010201</v>
      </c>
      <c r="U318" s="259" t="s">
        <v>545</v>
      </c>
      <c r="V318" s="261">
        <v>1970000000</v>
      </c>
      <c r="W318" s="261">
        <v>0</v>
      </c>
      <c r="X318" s="261">
        <v>0</v>
      </c>
      <c r="Y318" s="261">
        <v>0</v>
      </c>
      <c r="Z318" s="261">
        <v>1970000000</v>
      </c>
      <c r="AA318" s="261">
        <v>200855308</v>
      </c>
      <c r="AB318" s="261">
        <v>1018235518</v>
      </c>
      <c r="AC318" s="261">
        <v>951764482</v>
      </c>
      <c r="AD318" s="261">
        <v>88222653</v>
      </c>
      <c r="AE318" s="261">
        <v>859881261</v>
      </c>
      <c r="AF318" s="261">
        <v>245002254</v>
      </c>
      <c r="AG318" s="261">
        <v>196403025</v>
      </c>
      <c r="AH318" s="261">
        <v>1012357118</v>
      </c>
      <c r="AI318" s="261">
        <v>-5878400</v>
      </c>
      <c r="AJ318" s="261">
        <v>957642882</v>
      </c>
      <c r="AK318" s="261">
        <v>220800047</v>
      </c>
      <c r="AL318" s="261">
        <v>191575000</v>
      </c>
      <c r="AM318" s="261">
        <v>1229119506</v>
      </c>
      <c r="AN318" s="261">
        <v>1008319459</v>
      </c>
      <c r="AO318" s="261">
        <v>-9653117</v>
      </c>
      <c r="AP318" s="261">
        <v>961680541</v>
      </c>
      <c r="AQ318" s="9"/>
      <c r="AS318" s="9"/>
    </row>
    <row r="319" spans="1:45" x14ac:dyDescent="0.25">
      <c r="A319" s="7">
        <v>301020101</v>
      </c>
      <c r="B319" s="8" t="s">
        <v>546</v>
      </c>
      <c r="C319" s="9">
        <f>+C320+C324</f>
        <v>1620000000</v>
      </c>
      <c r="D319" s="9">
        <f t="shared" ref="D319:R319" si="158">+D320+D324</f>
        <v>0</v>
      </c>
      <c r="E319" s="9">
        <f t="shared" si="158"/>
        <v>0</v>
      </c>
      <c r="F319" s="9">
        <f t="shared" si="158"/>
        <v>0</v>
      </c>
      <c r="G319" s="9">
        <f t="shared" si="158"/>
        <v>1620000000</v>
      </c>
      <c r="H319" s="9">
        <f t="shared" si="158"/>
        <v>200355308</v>
      </c>
      <c r="I319" s="9">
        <f t="shared" si="158"/>
        <v>909735518</v>
      </c>
      <c r="J319" s="9">
        <f t="shared" si="132"/>
        <v>710264482</v>
      </c>
      <c r="K319" s="9">
        <f t="shared" si="158"/>
        <v>75422653</v>
      </c>
      <c r="L319" s="9">
        <f t="shared" si="158"/>
        <v>823081261</v>
      </c>
      <c r="M319" s="9">
        <f t="shared" si="158"/>
        <v>86654257</v>
      </c>
      <c r="N319" s="9">
        <f t="shared" si="158"/>
        <v>196403025</v>
      </c>
      <c r="O319" s="9">
        <f t="shared" si="158"/>
        <v>862357118</v>
      </c>
      <c r="P319" s="9">
        <f t="shared" si="158"/>
        <v>-47378400</v>
      </c>
      <c r="Q319" s="9">
        <f t="shared" si="133"/>
        <v>757642882</v>
      </c>
      <c r="R319" s="9">
        <f t="shared" si="158"/>
        <v>823081261</v>
      </c>
      <c r="S319" s="1"/>
      <c r="T319" s="185">
        <v>301020101</v>
      </c>
      <c r="U319" s="259" t="s">
        <v>546</v>
      </c>
      <c r="V319" s="261">
        <v>1620000000</v>
      </c>
      <c r="W319" s="261">
        <v>0</v>
      </c>
      <c r="X319" s="261">
        <v>0</v>
      </c>
      <c r="Y319" s="261">
        <v>0</v>
      </c>
      <c r="Z319" s="261">
        <v>1620000000</v>
      </c>
      <c r="AA319" s="261">
        <v>200355308</v>
      </c>
      <c r="AB319" s="261">
        <v>909735518</v>
      </c>
      <c r="AC319" s="261">
        <v>710264482</v>
      </c>
      <c r="AD319" s="261">
        <v>75422653</v>
      </c>
      <c r="AE319" s="261">
        <v>823081261</v>
      </c>
      <c r="AF319" s="261">
        <v>173302254</v>
      </c>
      <c r="AG319" s="261">
        <v>196403025</v>
      </c>
      <c r="AH319" s="261">
        <v>862357118</v>
      </c>
      <c r="AI319" s="261">
        <v>-47378400</v>
      </c>
      <c r="AJ319" s="261">
        <v>757642882</v>
      </c>
      <c r="AK319" s="261">
        <v>220800047</v>
      </c>
      <c r="AL319" s="261">
        <v>191575000</v>
      </c>
      <c r="AM319" s="261">
        <v>1229119506</v>
      </c>
      <c r="AN319" s="261">
        <v>1008319459</v>
      </c>
      <c r="AO319" s="261">
        <v>-9653117</v>
      </c>
      <c r="AP319" s="261">
        <v>961680541</v>
      </c>
      <c r="AQ319" s="9"/>
      <c r="AS319" s="9"/>
    </row>
    <row r="320" spans="1:45" s="1" customFormat="1" x14ac:dyDescent="0.25">
      <c r="A320" s="7">
        <v>30102010101</v>
      </c>
      <c r="B320" s="8" t="s">
        <v>547</v>
      </c>
      <c r="C320" s="9">
        <f>+C321+C322+C323</f>
        <v>1580000000</v>
      </c>
      <c r="D320" s="9">
        <f t="shared" ref="D320:R320" si="159">+D321+D322+D323</f>
        <v>0</v>
      </c>
      <c r="E320" s="9">
        <f t="shared" si="159"/>
        <v>0</v>
      </c>
      <c r="F320" s="9">
        <f t="shared" si="159"/>
        <v>0</v>
      </c>
      <c r="G320" s="9">
        <f t="shared" si="159"/>
        <v>1580000000</v>
      </c>
      <c r="H320" s="9">
        <f t="shared" si="159"/>
        <v>200355308</v>
      </c>
      <c r="I320" s="9">
        <f t="shared" si="159"/>
        <v>909735518</v>
      </c>
      <c r="J320" s="9">
        <f t="shared" si="132"/>
        <v>670264482</v>
      </c>
      <c r="K320" s="9">
        <f t="shared" si="159"/>
        <v>75422653</v>
      </c>
      <c r="L320" s="9">
        <f t="shared" si="159"/>
        <v>823081261</v>
      </c>
      <c r="M320" s="9">
        <f t="shared" si="159"/>
        <v>86654257</v>
      </c>
      <c r="N320" s="9">
        <f t="shared" si="159"/>
        <v>196403025</v>
      </c>
      <c r="O320" s="9">
        <f t="shared" si="159"/>
        <v>862357118</v>
      </c>
      <c r="P320" s="9">
        <f t="shared" si="159"/>
        <v>-47378400</v>
      </c>
      <c r="Q320" s="9">
        <f t="shared" si="133"/>
        <v>717642882</v>
      </c>
      <c r="R320" s="9">
        <f t="shared" si="159"/>
        <v>823081261</v>
      </c>
      <c r="T320" s="185">
        <v>30102010101</v>
      </c>
      <c r="U320" s="259" t="s">
        <v>547</v>
      </c>
      <c r="V320" s="261">
        <v>1580000000</v>
      </c>
      <c r="W320" s="261">
        <v>0</v>
      </c>
      <c r="X320" s="261">
        <v>0</v>
      </c>
      <c r="Y320" s="261">
        <v>0</v>
      </c>
      <c r="Z320" s="261">
        <v>1580000000</v>
      </c>
      <c r="AA320" s="261">
        <v>200355308</v>
      </c>
      <c r="AB320" s="261">
        <v>909735518</v>
      </c>
      <c r="AC320" s="261">
        <v>670264482</v>
      </c>
      <c r="AD320" s="261">
        <v>75422653</v>
      </c>
      <c r="AE320" s="261">
        <v>823081261</v>
      </c>
      <c r="AF320" s="261">
        <v>173302254</v>
      </c>
      <c r="AG320" s="261">
        <v>196403025</v>
      </c>
      <c r="AH320" s="261">
        <v>862357118</v>
      </c>
      <c r="AI320" s="261">
        <v>-47378400</v>
      </c>
      <c r="AJ320" s="261">
        <v>717642882</v>
      </c>
      <c r="AK320" s="261">
        <v>207220047</v>
      </c>
      <c r="AL320" s="261">
        <v>191575000</v>
      </c>
      <c r="AM320" s="261">
        <v>1066539506</v>
      </c>
      <c r="AN320" s="261">
        <v>859319459</v>
      </c>
      <c r="AO320" s="261">
        <v>-50653117</v>
      </c>
      <c r="AP320" s="261">
        <v>760680541</v>
      </c>
      <c r="AQ320" s="9"/>
      <c r="AS320" s="9"/>
    </row>
    <row r="321" spans="1:45" x14ac:dyDescent="0.25">
      <c r="A321" s="205">
        <v>3010201010101</v>
      </c>
      <c r="B321" s="259" t="s">
        <v>548</v>
      </c>
      <c r="C321" s="261">
        <v>530000000</v>
      </c>
      <c r="D321" s="261">
        <v>0</v>
      </c>
      <c r="E321" s="261">
        <v>0</v>
      </c>
      <c r="F321" s="261">
        <v>0</v>
      </c>
      <c r="G321" s="261">
        <f>+C321+D321-E321+F321</f>
        <v>530000000</v>
      </c>
      <c r="H321" s="261">
        <v>0</v>
      </c>
      <c r="I321" s="261">
        <v>0</v>
      </c>
      <c r="J321" s="261">
        <f t="shared" si="132"/>
        <v>530000000</v>
      </c>
      <c r="K321" s="261">
        <v>0</v>
      </c>
      <c r="L321" s="261">
        <v>0</v>
      </c>
      <c r="M321" s="261">
        <f>+I321-L321</f>
        <v>0</v>
      </c>
      <c r="N321" s="261">
        <v>0</v>
      </c>
      <c r="O321" s="261">
        <v>0</v>
      </c>
      <c r="P321" s="261">
        <f>+O321-I321</f>
        <v>0</v>
      </c>
      <c r="Q321" s="177">
        <f t="shared" si="133"/>
        <v>530000000</v>
      </c>
      <c r="R321" s="261">
        <f>+L321</f>
        <v>0</v>
      </c>
      <c r="T321" s="185">
        <v>3010201010101</v>
      </c>
      <c r="U321" s="259" t="s">
        <v>548</v>
      </c>
      <c r="V321" s="261">
        <v>530000000</v>
      </c>
      <c r="W321" s="261">
        <v>0</v>
      </c>
      <c r="X321" s="261">
        <v>0</v>
      </c>
      <c r="Y321" s="261">
        <v>0</v>
      </c>
      <c r="Z321" s="261">
        <v>530000000</v>
      </c>
      <c r="AA321" s="261">
        <v>0</v>
      </c>
      <c r="AB321" s="261">
        <v>0</v>
      </c>
      <c r="AC321" s="261">
        <v>530000000</v>
      </c>
      <c r="AD321" s="261">
        <v>0</v>
      </c>
      <c r="AE321" s="261">
        <v>0</v>
      </c>
      <c r="AF321" s="261">
        <v>0</v>
      </c>
      <c r="AG321" s="261">
        <v>0</v>
      </c>
      <c r="AH321" s="261">
        <v>0</v>
      </c>
      <c r="AI321" s="261">
        <v>0</v>
      </c>
      <c r="AJ321" s="261">
        <v>530000000</v>
      </c>
      <c r="AK321" s="261">
        <v>207220047</v>
      </c>
      <c r="AL321" s="261">
        <v>191575000</v>
      </c>
      <c r="AM321" s="261">
        <v>1066539506</v>
      </c>
      <c r="AN321" s="261">
        <v>859319459</v>
      </c>
      <c r="AO321" s="261">
        <v>-50653117</v>
      </c>
      <c r="AP321" s="261">
        <v>720680541</v>
      </c>
      <c r="AQ321" s="261"/>
      <c r="AS321" s="261"/>
    </row>
    <row r="322" spans="1:45" s="1" customFormat="1" x14ac:dyDescent="0.25">
      <c r="A322" s="206">
        <v>3010201010102</v>
      </c>
      <c r="B322" s="259" t="s">
        <v>549</v>
      </c>
      <c r="C322" s="261">
        <v>200000000</v>
      </c>
      <c r="D322" s="261">
        <v>0</v>
      </c>
      <c r="E322" s="261">
        <v>0</v>
      </c>
      <c r="F322" s="261">
        <v>0</v>
      </c>
      <c r="G322" s="261">
        <f>+C322+D322-E322+F322</f>
        <v>200000000</v>
      </c>
      <c r="H322" s="261">
        <v>1553308</v>
      </c>
      <c r="I322" s="261">
        <v>1553308</v>
      </c>
      <c r="J322" s="261">
        <f t="shared" si="132"/>
        <v>198446692</v>
      </c>
      <c r="K322" s="261">
        <v>0</v>
      </c>
      <c r="L322" s="261">
        <v>0</v>
      </c>
      <c r="M322" s="261">
        <f>+I322-L322</f>
        <v>1553308</v>
      </c>
      <c r="N322" s="261">
        <v>14147484</v>
      </c>
      <c r="O322" s="261">
        <v>14147484</v>
      </c>
      <c r="P322" s="261">
        <f>+O322-I322</f>
        <v>12594176</v>
      </c>
      <c r="Q322" s="177">
        <f t="shared" si="133"/>
        <v>185852516</v>
      </c>
      <c r="R322" s="261">
        <f>+L322</f>
        <v>0</v>
      </c>
      <c r="S322" s="257"/>
      <c r="T322" s="185">
        <v>3010201010102</v>
      </c>
      <c r="U322" s="259" t="s">
        <v>549</v>
      </c>
      <c r="V322" s="261">
        <v>200000000</v>
      </c>
      <c r="W322" s="261">
        <v>0</v>
      </c>
      <c r="X322" s="261">
        <v>0</v>
      </c>
      <c r="Y322" s="261">
        <v>0</v>
      </c>
      <c r="Z322" s="261">
        <v>200000000</v>
      </c>
      <c r="AA322" s="261">
        <v>1553308</v>
      </c>
      <c r="AB322" s="261">
        <v>1553308</v>
      </c>
      <c r="AC322" s="261">
        <v>198446692</v>
      </c>
      <c r="AD322" s="261">
        <v>0</v>
      </c>
      <c r="AE322" s="261">
        <v>0</v>
      </c>
      <c r="AF322" s="261">
        <v>1553308</v>
      </c>
      <c r="AG322" s="261">
        <v>14147484</v>
      </c>
      <c r="AH322" s="261">
        <v>14147484</v>
      </c>
      <c r="AI322" s="261">
        <v>12594176</v>
      </c>
      <c r="AJ322" s="261">
        <v>185852516</v>
      </c>
      <c r="AK322" s="261">
        <v>0</v>
      </c>
      <c r="AL322" s="261">
        <v>0</v>
      </c>
      <c r="AM322" s="261">
        <v>0</v>
      </c>
      <c r="AN322" s="261">
        <v>0</v>
      </c>
      <c r="AO322" s="261">
        <v>0</v>
      </c>
      <c r="AP322" s="261">
        <v>530000000</v>
      </c>
      <c r="AQ322" s="261"/>
      <c r="AS322" s="261"/>
    </row>
    <row r="323" spans="1:45" x14ac:dyDescent="0.25">
      <c r="A323" s="204">
        <v>3010201010103</v>
      </c>
      <c r="B323" s="259" t="s">
        <v>550</v>
      </c>
      <c r="C323" s="261">
        <v>850000000</v>
      </c>
      <c r="D323" s="261">
        <v>0</v>
      </c>
      <c r="E323" s="261">
        <v>0</v>
      </c>
      <c r="F323" s="261">
        <v>0</v>
      </c>
      <c r="G323" s="261">
        <f>+C323+D323-E323+F323</f>
        <v>850000000</v>
      </c>
      <c r="H323" s="261">
        <v>198802000</v>
      </c>
      <c r="I323" s="261">
        <v>908182210</v>
      </c>
      <c r="J323" s="261">
        <f t="shared" si="132"/>
        <v>-58182210</v>
      </c>
      <c r="K323" s="261">
        <v>75422653</v>
      </c>
      <c r="L323" s="261">
        <v>823081261</v>
      </c>
      <c r="M323" s="261">
        <f>+I323-L323</f>
        <v>85100949</v>
      </c>
      <c r="N323" s="261">
        <v>182255541</v>
      </c>
      <c r="O323" s="261">
        <v>848209634</v>
      </c>
      <c r="P323" s="261">
        <f>+O323-I323</f>
        <v>-59972576</v>
      </c>
      <c r="Q323" s="177">
        <f t="shared" si="133"/>
        <v>1790366</v>
      </c>
      <c r="R323" s="261">
        <f>+L323</f>
        <v>823081261</v>
      </c>
      <c r="T323" s="185">
        <v>3010201010103</v>
      </c>
      <c r="U323" s="259" t="s">
        <v>550</v>
      </c>
      <c r="V323" s="261">
        <v>850000000</v>
      </c>
      <c r="W323" s="261">
        <v>0</v>
      </c>
      <c r="X323" s="261">
        <v>0</v>
      </c>
      <c r="Y323" s="261">
        <v>0</v>
      </c>
      <c r="Z323" s="261">
        <v>850000000</v>
      </c>
      <c r="AA323" s="261">
        <v>198802000</v>
      </c>
      <c r="AB323" s="261">
        <v>908182210</v>
      </c>
      <c r="AC323" s="261">
        <v>-58182210</v>
      </c>
      <c r="AD323" s="261">
        <v>75422653</v>
      </c>
      <c r="AE323" s="261">
        <v>823081261</v>
      </c>
      <c r="AF323" s="261">
        <v>171748946</v>
      </c>
      <c r="AG323" s="261">
        <v>182255541</v>
      </c>
      <c r="AH323" s="261">
        <v>848209634</v>
      </c>
      <c r="AI323" s="261">
        <v>-59972576</v>
      </c>
      <c r="AJ323" s="261">
        <v>1790366</v>
      </c>
      <c r="AK323" s="261">
        <v>0</v>
      </c>
      <c r="AL323" s="261">
        <v>11993000</v>
      </c>
      <c r="AM323" s="261">
        <v>11993000</v>
      </c>
      <c r="AN323" s="261">
        <v>11993000</v>
      </c>
      <c r="AO323" s="261">
        <v>11993000</v>
      </c>
      <c r="AP323" s="261">
        <v>188007000</v>
      </c>
      <c r="AQ323" s="261"/>
      <c r="AS323" s="261"/>
    </row>
    <row r="324" spans="1:45" x14ac:dyDescent="0.25">
      <c r="A324" s="7">
        <v>30102010102</v>
      </c>
      <c r="B324" s="8" t="s">
        <v>551</v>
      </c>
      <c r="C324" s="9">
        <f>+C325</f>
        <v>40000000</v>
      </c>
      <c r="D324" s="9">
        <f t="shared" ref="D324:R324" si="160">+D325</f>
        <v>0</v>
      </c>
      <c r="E324" s="9">
        <f t="shared" si="160"/>
        <v>0</v>
      </c>
      <c r="F324" s="9">
        <f t="shared" si="160"/>
        <v>0</v>
      </c>
      <c r="G324" s="9">
        <f t="shared" si="160"/>
        <v>40000000</v>
      </c>
      <c r="H324" s="9">
        <f t="shared" si="160"/>
        <v>0</v>
      </c>
      <c r="I324" s="9">
        <f t="shared" si="160"/>
        <v>0</v>
      </c>
      <c r="J324" s="9">
        <f t="shared" si="132"/>
        <v>40000000</v>
      </c>
      <c r="K324" s="9">
        <f t="shared" si="160"/>
        <v>0</v>
      </c>
      <c r="L324" s="9">
        <f t="shared" si="160"/>
        <v>0</v>
      </c>
      <c r="M324" s="9">
        <f t="shared" si="160"/>
        <v>0</v>
      </c>
      <c r="N324" s="9">
        <f t="shared" si="160"/>
        <v>0</v>
      </c>
      <c r="O324" s="9">
        <f t="shared" si="160"/>
        <v>0</v>
      </c>
      <c r="P324" s="9">
        <f t="shared" si="160"/>
        <v>0</v>
      </c>
      <c r="Q324" s="9">
        <f t="shared" si="133"/>
        <v>40000000</v>
      </c>
      <c r="R324" s="9">
        <f t="shared" si="160"/>
        <v>0</v>
      </c>
      <c r="S324" s="1"/>
      <c r="T324" s="185">
        <v>30102010102</v>
      </c>
      <c r="U324" s="259" t="s">
        <v>551</v>
      </c>
      <c r="V324" s="261">
        <v>40000000</v>
      </c>
      <c r="W324" s="261">
        <v>0</v>
      </c>
      <c r="X324" s="261">
        <v>0</v>
      </c>
      <c r="Y324" s="261">
        <v>0</v>
      </c>
      <c r="Z324" s="261">
        <v>40000000</v>
      </c>
      <c r="AA324" s="261">
        <v>0</v>
      </c>
      <c r="AB324" s="261">
        <v>0</v>
      </c>
      <c r="AC324" s="261">
        <v>40000000</v>
      </c>
      <c r="AD324" s="261">
        <v>0</v>
      </c>
      <c r="AE324" s="261">
        <v>0</v>
      </c>
      <c r="AF324" s="261">
        <v>0</v>
      </c>
      <c r="AG324" s="261">
        <v>0</v>
      </c>
      <c r="AH324" s="261">
        <v>0</v>
      </c>
      <c r="AI324" s="261">
        <v>0</v>
      </c>
      <c r="AJ324" s="261">
        <v>40000000</v>
      </c>
      <c r="AK324" s="261">
        <v>207220047</v>
      </c>
      <c r="AL324" s="261">
        <v>179582000</v>
      </c>
      <c r="AM324" s="261">
        <v>1054546506</v>
      </c>
      <c r="AN324" s="261">
        <v>847326459</v>
      </c>
      <c r="AO324" s="261">
        <v>-62646117</v>
      </c>
      <c r="AP324" s="261">
        <v>2673541</v>
      </c>
      <c r="AQ324" s="9"/>
      <c r="AS324" s="9"/>
    </row>
    <row r="325" spans="1:45" s="1" customFormat="1" x14ac:dyDescent="0.25">
      <c r="A325" s="205">
        <v>3010201010201</v>
      </c>
      <c r="B325" s="259" t="s">
        <v>552</v>
      </c>
      <c r="C325" s="261">
        <v>40000000</v>
      </c>
      <c r="D325" s="261">
        <v>0</v>
      </c>
      <c r="E325" s="261">
        <v>0</v>
      </c>
      <c r="F325" s="261">
        <v>0</v>
      </c>
      <c r="G325" s="261">
        <f>+C325+D325-E325+F325</f>
        <v>40000000</v>
      </c>
      <c r="H325" s="261">
        <v>0</v>
      </c>
      <c r="I325" s="261">
        <v>0</v>
      </c>
      <c r="J325" s="261">
        <f t="shared" si="132"/>
        <v>40000000</v>
      </c>
      <c r="K325" s="261">
        <v>0</v>
      </c>
      <c r="L325" s="261">
        <v>0</v>
      </c>
      <c r="M325" s="261">
        <f>+I325-L325</f>
        <v>0</v>
      </c>
      <c r="N325" s="261">
        <v>0</v>
      </c>
      <c r="O325" s="261">
        <v>0</v>
      </c>
      <c r="P325" s="261">
        <f>+O325-I325</f>
        <v>0</v>
      </c>
      <c r="Q325" s="177">
        <f t="shared" si="133"/>
        <v>40000000</v>
      </c>
      <c r="R325" s="261">
        <f>+L325</f>
        <v>0</v>
      </c>
      <c r="S325" s="257"/>
      <c r="T325" s="185">
        <v>3010201010201</v>
      </c>
      <c r="U325" s="259" t="s">
        <v>552</v>
      </c>
      <c r="V325" s="261">
        <v>40000000</v>
      </c>
      <c r="W325" s="261">
        <v>0</v>
      </c>
      <c r="X325" s="261">
        <v>0</v>
      </c>
      <c r="Y325" s="261">
        <v>0</v>
      </c>
      <c r="Z325" s="261">
        <v>40000000</v>
      </c>
      <c r="AA325" s="261">
        <v>0</v>
      </c>
      <c r="AB325" s="261">
        <v>0</v>
      </c>
      <c r="AC325" s="261">
        <v>40000000</v>
      </c>
      <c r="AD325" s="261">
        <v>0</v>
      </c>
      <c r="AE325" s="261">
        <v>0</v>
      </c>
      <c r="AF325" s="261">
        <v>0</v>
      </c>
      <c r="AG325" s="261">
        <v>0</v>
      </c>
      <c r="AH325" s="261">
        <v>0</v>
      </c>
      <c r="AI325" s="261">
        <v>0</v>
      </c>
      <c r="AJ325" s="261">
        <v>40000000</v>
      </c>
      <c r="AK325" s="261">
        <v>0</v>
      </c>
      <c r="AL325" s="261">
        <v>0</v>
      </c>
      <c r="AM325" s="261">
        <v>0</v>
      </c>
      <c r="AN325" s="261">
        <v>0</v>
      </c>
      <c r="AO325" s="261">
        <v>0</v>
      </c>
      <c r="AP325" s="261">
        <v>40000000</v>
      </c>
      <c r="AQ325" s="261"/>
      <c r="AS325" s="261"/>
    </row>
    <row r="326" spans="1:45" s="1" customFormat="1" x14ac:dyDescent="0.25">
      <c r="A326" s="7">
        <v>301020103</v>
      </c>
      <c r="B326" s="8" t="s">
        <v>553</v>
      </c>
      <c r="C326" s="9">
        <f>+C327+C328</f>
        <v>350000000</v>
      </c>
      <c r="D326" s="9">
        <f t="shared" ref="D326:R326" si="161">+D327+D328</f>
        <v>0</v>
      </c>
      <c r="E326" s="9">
        <f t="shared" si="161"/>
        <v>0</v>
      </c>
      <c r="F326" s="9">
        <f t="shared" si="161"/>
        <v>0</v>
      </c>
      <c r="G326" s="9">
        <f t="shared" si="161"/>
        <v>350000000</v>
      </c>
      <c r="H326" s="9">
        <f t="shared" si="161"/>
        <v>500000</v>
      </c>
      <c r="I326" s="9">
        <f t="shared" si="161"/>
        <v>108500000</v>
      </c>
      <c r="J326" s="9">
        <f t="shared" si="132"/>
        <v>241500000</v>
      </c>
      <c r="K326" s="9">
        <f t="shared" si="161"/>
        <v>12800000</v>
      </c>
      <c r="L326" s="9">
        <f t="shared" si="161"/>
        <v>36800000</v>
      </c>
      <c r="M326" s="9">
        <f t="shared" si="161"/>
        <v>71700000</v>
      </c>
      <c r="N326" s="9">
        <f t="shared" si="161"/>
        <v>0</v>
      </c>
      <c r="O326" s="9">
        <f t="shared" si="161"/>
        <v>150000000</v>
      </c>
      <c r="P326" s="9">
        <f t="shared" si="161"/>
        <v>41500000</v>
      </c>
      <c r="Q326" s="9">
        <f t="shared" si="133"/>
        <v>200000000</v>
      </c>
      <c r="R326" s="9">
        <f t="shared" si="161"/>
        <v>36800000</v>
      </c>
      <c r="T326" s="185">
        <v>301020103</v>
      </c>
      <c r="U326" s="259" t="s">
        <v>553</v>
      </c>
      <c r="V326" s="261">
        <v>350000000</v>
      </c>
      <c r="W326" s="261">
        <v>0</v>
      </c>
      <c r="X326" s="261">
        <v>0</v>
      </c>
      <c r="Y326" s="261">
        <v>0</v>
      </c>
      <c r="Z326" s="261">
        <v>350000000</v>
      </c>
      <c r="AA326" s="261">
        <v>500000</v>
      </c>
      <c r="AB326" s="261">
        <v>108500000</v>
      </c>
      <c r="AC326" s="261">
        <v>241500000</v>
      </c>
      <c r="AD326" s="261">
        <v>12800000</v>
      </c>
      <c r="AE326" s="261">
        <v>36800000</v>
      </c>
      <c r="AF326" s="261">
        <v>71700000</v>
      </c>
      <c r="AG326" s="261">
        <v>0</v>
      </c>
      <c r="AH326" s="261">
        <v>150000000</v>
      </c>
      <c r="AI326" s="261">
        <v>41500000</v>
      </c>
      <c r="AJ326" s="261">
        <v>200000000</v>
      </c>
      <c r="AK326" s="261">
        <v>0</v>
      </c>
      <c r="AL326" s="261">
        <v>0</v>
      </c>
      <c r="AM326" s="261">
        <v>0</v>
      </c>
      <c r="AN326" s="261">
        <v>0</v>
      </c>
      <c r="AO326" s="261">
        <v>0</v>
      </c>
      <c r="AP326" s="261">
        <v>40000000</v>
      </c>
      <c r="AQ326" s="9"/>
      <c r="AS326" s="9"/>
    </row>
    <row r="327" spans="1:45" s="1" customFormat="1" x14ac:dyDescent="0.25">
      <c r="A327" s="205">
        <v>30102010301</v>
      </c>
      <c r="B327" s="259" t="s">
        <v>554</v>
      </c>
      <c r="C327" s="261">
        <v>200000000</v>
      </c>
      <c r="D327" s="261">
        <v>0</v>
      </c>
      <c r="E327" s="261">
        <v>0</v>
      </c>
      <c r="F327" s="261">
        <v>0</v>
      </c>
      <c r="G327" s="261">
        <f>+C327+D327-E327+F327</f>
        <v>200000000</v>
      </c>
      <c r="H327" s="261">
        <v>0</v>
      </c>
      <c r="I327" s="261">
        <v>0</v>
      </c>
      <c r="J327" s="261">
        <f t="shared" si="132"/>
        <v>200000000</v>
      </c>
      <c r="K327" s="261">
        <v>0</v>
      </c>
      <c r="L327" s="261">
        <v>0</v>
      </c>
      <c r="M327" s="261">
        <f>+I327-L327</f>
        <v>0</v>
      </c>
      <c r="N327" s="261">
        <v>0</v>
      </c>
      <c r="O327" s="261">
        <v>0</v>
      </c>
      <c r="P327" s="261">
        <f>+O327-I327</f>
        <v>0</v>
      </c>
      <c r="Q327" s="177">
        <f t="shared" si="133"/>
        <v>200000000</v>
      </c>
      <c r="R327" s="261">
        <f>+L327</f>
        <v>0</v>
      </c>
      <c r="S327" s="257"/>
      <c r="T327" s="185">
        <v>30102010301</v>
      </c>
      <c r="U327" s="259" t="s">
        <v>554</v>
      </c>
      <c r="V327" s="261">
        <v>200000000</v>
      </c>
      <c r="W327" s="261">
        <v>0</v>
      </c>
      <c r="X327" s="261">
        <v>0</v>
      </c>
      <c r="Y327" s="261">
        <v>0</v>
      </c>
      <c r="Z327" s="261">
        <v>200000000</v>
      </c>
      <c r="AA327" s="261">
        <v>0</v>
      </c>
      <c r="AB327" s="261">
        <v>0</v>
      </c>
      <c r="AC327" s="261">
        <v>200000000</v>
      </c>
      <c r="AD327" s="261">
        <v>0</v>
      </c>
      <c r="AE327" s="261">
        <v>0</v>
      </c>
      <c r="AF327" s="261">
        <v>0</v>
      </c>
      <c r="AG327" s="261">
        <v>0</v>
      </c>
      <c r="AH327" s="261">
        <v>0</v>
      </c>
      <c r="AI327" s="261">
        <v>0</v>
      </c>
      <c r="AJ327" s="261">
        <v>200000000</v>
      </c>
      <c r="AK327" s="261">
        <v>13580000</v>
      </c>
      <c r="AL327" s="261">
        <v>0</v>
      </c>
      <c r="AM327" s="261">
        <v>162580000</v>
      </c>
      <c r="AN327" s="261">
        <v>149000000</v>
      </c>
      <c r="AO327" s="261">
        <v>41000000</v>
      </c>
      <c r="AP327" s="261">
        <v>201000000</v>
      </c>
      <c r="AQ327" s="261"/>
      <c r="AS327" s="261"/>
    </row>
    <row r="328" spans="1:45" x14ac:dyDescent="0.25">
      <c r="A328" s="206">
        <v>30102010302</v>
      </c>
      <c r="B328" s="259" t="s">
        <v>555</v>
      </c>
      <c r="C328" s="261">
        <v>150000000</v>
      </c>
      <c r="D328" s="261">
        <v>0</v>
      </c>
      <c r="E328" s="261">
        <v>0</v>
      </c>
      <c r="F328" s="261">
        <v>0</v>
      </c>
      <c r="G328" s="261">
        <f>+C328+D328-E328+F328</f>
        <v>150000000</v>
      </c>
      <c r="H328" s="261">
        <v>500000</v>
      </c>
      <c r="I328" s="261">
        <v>108500000</v>
      </c>
      <c r="J328" s="261">
        <f t="shared" si="132"/>
        <v>41500000</v>
      </c>
      <c r="K328" s="261">
        <v>12800000</v>
      </c>
      <c r="L328" s="261">
        <v>36800000</v>
      </c>
      <c r="M328" s="261">
        <f>+I328-L328</f>
        <v>71700000</v>
      </c>
      <c r="N328" s="261">
        <v>0</v>
      </c>
      <c r="O328" s="261">
        <v>150000000</v>
      </c>
      <c r="P328" s="261">
        <f>+O328-I328</f>
        <v>41500000</v>
      </c>
      <c r="Q328" s="177">
        <f t="shared" si="133"/>
        <v>0</v>
      </c>
      <c r="R328" s="261">
        <f>+L328</f>
        <v>36800000</v>
      </c>
      <c r="T328" s="185">
        <v>30102010302</v>
      </c>
      <c r="U328" s="259" t="s">
        <v>555</v>
      </c>
      <c r="V328" s="261">
        <v>150000000</v>
      </c>
      <c r="W328" s="261">
        <v>0</v>
      </c>
      <c r="X328" s="261">
        <v>0</v>
      </c>
      <c r="Y328" s="261">
        <v>0</v>
      </c>
      <c r="Z328" s="261">
        <v>150000000</v>
      </c>
      <c r="AA328" s="261">
        <v>500000</v>
      </c>
      <c r="AB328" s="261">
        <v>108500000</v>
      </c>
      <c r="AC328" s="261">
        <v>41500000</v>
      </c>
      <c r="AD328" s="261">
        <v>12800000</v>
      </c>
      <c r="AE328" s="261">
        <v>36800000</v>
      </c>
      <c r="AF328" s="261">
        <v>71700000</v>
      </c>
      <c r="AG328" s="261">
        <v>0</v>
      </c>
      <c r="AH328" s="261">
        <v>150000000</v>
      </c>
      <c r="AI328" s="261">
        <v>41500000</v>
      </c>
      <c r="AJ328" s="261">
        <v>0</v>
      </c>
      <c r="AK328" s="261">
        <v>0</v>
      </c>
      <c r="AL328" s="261">
        <v>0</v>
      </c>
      <c r="AM328" s="261">
        <v>0</v>
      </c>
      <c r="AN328" s="261">
        <v>0</v>
      </c>
      <c r="AO328" s="261">
        <v>0</v>
      </c>
      <c r="AP328" s="261">
        <v>200000000</v>
      </c>
      <c r="AQ328" s="261"/>
      <c r="AS328" s="261"/>
    </row>
    <row r="329" spans="1:45" x14ac:dyDescent="0.25">
      <c r="A329" s="4">
        <v>30103</v>
      </c>
      <c r="B329" s="5" t="s">
        <v>556</v>
      </c>
      <c r="C329" s="6">
        <f>+C330+C335</f>
        <v>1925000000</v>
      </c>
      <c r="D329" s="6">
        <f t="shared" ref="D329:R329" si="162">+D330+D335</f>
        <v>0</v>
      </c>
      <c r="E329" s="6">
        <f t="shared" si="162"/>
        <v>0</v>
      </c>
      <c r="F329" s="6">
        <f t="shared" si="162"/>
        <v>0</v>
      </c>
      <c r="G329" s="6">
        <f t="shared" si="162"/>
        <v>1925000000</v>
      </c>
      <c r="H329" s="6">
        <f t="shared" si="162"/>
        <v>6599928</v>
      </c>
      <c r="I329" s="6">
        <f t="shared" si="162"/>
        <v>219029868</v>
      </c>
      <c r="J329" s="6">
        <f t="shared" ref="J329:J392" si="163">+G329-I329</f>
        <v>1705970132</v>
      </c>
      <c r="K329" s="6">
        <f t="shared" si="162"/>
        <v>25049928</v>
      </c>
      <c r="L329" s="6">
        <f t="shared" si="162"/>
        <v>247149928</v>
      </c>
      <c r="M329" s="6">
        <f t="shared" si="162"/>
        <v>-28120060</v>
      </c>
      <c r="N329" s="6">
        <f t="shared" si="162"/>
        <v>79724240</v>
      </c>
      <c r="O329" s="6">
        <f t="shared" si="162"/>
        <v>313404180</v>
      </c>
      <c r="P329" s="6">
        <f t="shared" si="162"/>
        <v>94374312</v>
      </c>
      <c r="Q329" s="6">
        <f t="shared" ref="Q329:Q392" si="164">+G329-O329</f>
        <v>1611595820</v>
      </c>
      <c r="R329" s="6">
        <f t="shared" si="162"/>
        <v>247149928</v>
      </c>
      <c r="S329" s="1"/>
      <c r="T329" s="185">
        <v>30103</v>
      </c>
      <c r="U329" s="259" t="s">
        <v>556</v>
      </c>
      <c r="V329" s="261">
        <v>1925000000</v>
      </c>
      <c r="W329" s="261">
        <v>0</v>
      </c>
      <c r="X329" s="261">
        <v>0</v>
      </c>
      <c r="Y329" s="261">
        <v>0</v>
      </c>
      <c r="Z329" s="261">
        <v>1925000000</v>
      </c>
      <c r="AA329" s="261">
        <v>6599928</v>
      </c>
      <c r="AB329" s="261">
        <v>219029868</v>
      </c>
      <c r="AC329" s="261">
        <v>1705970132</v>
      </c>
      <c r="AD329" s="261">
        <v>25049928</v>
      </c>
      <c r="AE329" s="261">
        <v>247149928</v>
      </c>
      <c r="AF329" s="261">
        <v>137879940</v>
      </c>
      <c r="AG329" s="261">
        <v>79724240</v>
      </c>
      <c r="AH329" s="261">
        <v>313404180</v>
      </c>
      <c r="AI329" s="261">
        <v>94374312</v>
      </c>
      <c r="AJ329" s="261">
        <v>1611595820</v>
      </c>
      <c r="AK329" s="261">
        <v>13580000</v>
      </c>
      <c r="AL329" s="261">
        <v>0</v>
      </c>
      <c r="AM329" s="261">
        <v>162580000</v>
      </c>
      <c r="AN329" s="261">
        <v>149000000</v>
      </c>
      <c r="AO329" s="261">
        <v>41000000</v>
      </c>
      <c r="AP329" s="261">
        <v>1000000</v>
      </c>
      <c r="AQ329" s="6"/>
      <c r="AS329" s="6"/>
    </row>
    <row r="330" spans="1:45" x14ac:dyDescent="0.25">
      <c r="A330" s="7">
        <v>3010301</v>
      </c>
      <c r="B330" s="8" t="s">
        <v>557</v>
      </c>
      <c r="C330" s="9">
        <f>+C331</f>
        <v>800000000</v>
      </c>
      <c r="D330" s="9">
        <f t="shared" ref="D330:R330" si="165">+D331</f>
        <v>0</v>
      </c>
      <c r="E330" s="9">
        <f t="shared" si="165"/>
        <v>0</v>
      </c>
      <c r="F330" s="9">
        <f t="shared" si="165"/>
        <v>0</v>
      </c>
      <c r="G330" s="9">
        <f t="shared" si="165"/>
        <v>800000000</v>
      </c>
      <c r="H330" s="9">
        <f t="shared" si="165"/>
        <v>0</v>
      </c>
      <c r="I330" s="9">
        <f t="shared" si="165"/>
        <v>154700000</v>
      </c>
      <c r="J330" s="9">
        <f t="shared" si="163"/>
        <v>645300000</v>
      </c>
      <c r="K330" s="9">
        <f t="shared" si="165"/>
        <v>18450000</v>
      </c>
      <c r="L330" s="9">
        <f t="shared" si="165"/>
        <v>240550000</v>
      </c>
      <c r="M330" s="9">
        <f t="shared" si="165"/>
        <v>-85850000</v>
      </c>
      <c r="N330" s="9">
        <f t="shared" si="165"/>
        <v>0</v>
      </c>
      <c r="O330" s="9">
        <f t="shared" si="165"/>
        <v>169000000</v>
      </c>
      <c r="P330" s="9">
        <f t="shared" si="165"/>
        <v>14300000</v>
      </c>
      <c r="Q330" s="9">
        <f t="shared" si="164"/>
        <v>631000000</v>
      </c>
      <c r="R330" s="9">
        <f t="shared" si="165"/>
        <v>240550000</v>
      </c>
      <c r="S330" s="1"/>
      <c r="T330" s="185">
        <v>3010301</v>
      </c>
      <c r="U330" s="259" t="s">
        <v>557</v>
      </c>
      <c r="V330" s="261">
        <v>800000000</v>
      </c>
      <c r="W330" s="261">
        <v>0</v>
      </c>
      <c r="X330" s="261">
        <v>0</v>
      </c>
      <c r="Y330" s="261">
        <v>0</v>
      </c>
      <c r="Z330" s="261">
        <v>800000000</v>
      </c>
      <c r="AA330" s="261">
        <v>0</v>
      </c>
      <c r="AB330" s="261">
        <v>154700000</v>
      </c>
      <c r="AC330" s="261">
        <v>645300000</v>
      </c>
      <c r="AD330" s="261">
        <v>18450000</v>
      </c>
      <c r="AE330" s="261">
        <v>240550000</v>
      </c>
      <c r="AF330" s="261">
        <v>80150000</v>
      </c>
      <c r="AG330" s="261">
        <v>0</v>
      </c>
      <c r="AH330" s="261">
        <v>169000000</v>
      </c>
      <c r="AI330" s="261">
        <v>14300000</v>
      </c>
      <c r="AJ330" s="261">
        <v>631000000</v>
      </c>
      <c r="AK330" s="261">
        <v>0</v>
      </c>
      <c r="AL330" s="261">
        <v>0</v>
      </c>
      <c r="AM330" s="261">
        <v>233679940</v>
      </c>
      <c r="AN330" s="261">
        <v>233679940</v>
      </c>
      <c r="AO330" s="261">
        <v>14650072</v>
      </c>
      <c r="AP330" s="261">
        <v>1691320060</v>
      </c>
      <c r="AQ330" s="9"/>
      <c r="AS330" s="9"/>
    </row>
    <row r="331" spans="1:45" s="1" customFormat="1" x14ac:dyDescent="0.25">
      <c r="A331" s="7">
        <v>301030101</v>
      </c>
      <c r="B331" s="8" t="s">
        <v>558</v>
      </c>
      <c r="C331" s="9">
        <f>+C332+C333+C334</f>
        <v>800000000</v>
      </c>
      <c r="D331" s="9">
        <f t="shared" ref="D331:R331" si="166">+D332+D333+D334</f>
        <v>0</v>
      </c>
      <c r="E331" s="9">
        <f t="shared" si="166"/>
        <v>0</v>
      </c>
      <c r="F331" s="9">
        <f t="shared" si="166"/>
        <v>0</v>
      </c>
      <c r="G331" s="9">
        <f t="shared" si="166"/>
        <v>800000000</v>
      </c>
      <c r="H331" s="9">
        <f t="shared" si="166"/>
        <v>0</v>
      </c>
      <c r="I331" s="9">
        <f t="shared" si="166"/>
        <v>154700000</v>
      </c>
      <c r="J331" s="9">
        <f t="shared" si="163"/>
        <v>645300000</v>
      </c>
      <c r="K331" s="9">
        <f t="shared" si="166"/>
        <v>18450000</v>
      </c>
      <c r="L331" s="9">
        <f t="shared" si="166"/>
        <v>240550000</v>
      </c>
      <c r="M331" s="9">
        <f t="shared" si="166"/>
        <v>-85850000</v>
      </c>
      <c r="N331" s="9">
        <f t="shared" si="166"/>
        <v>0</v>
      </c>
      <c r="O331" s="9">
        <f t="shared" si="166"/>
        <v>169000000</v>
      </c>
      <c r="P331" s="9">
        <f t="shared" si="166"/>
        <v>14300000</v>
      </c>
      <c r="Q331" s="9">
        <f t="shared" si="164"/>
        <v>631000000</v>
      </c>
      <c r="R331" s="9">
        <f t="shared" si="166"/>
        <v>240550000</v>
      </c>
      <c r="T331" s="185">
        <v>301030101</v>
      </c>
      <c r="U331" s="259" t="s">
        <v>558</v>
      </c>
      <c r="V331" s="261">
        <v>800000000</v>
      </c>
      <c r="W331" s="261">
        <v>0</v>
      </c>
      <c r="X331" s="261">
        <v>0</v>
      </c>
      <c r="Y331" s="261">
        <v>0</v>
      </c>
      <c r="Z331" s="261">
        <v>800000000</v>
      </c>
      <c r="AA331" s="261">
        <v>0</v>
      </c>
      <c r="AB331" s="261">
        <v>154700000</v>
      </c>
      <c r="AC331" s="261">
        <v>645300000</v>
      </c>
      <c r="AD331" s="261">
        <v>18450000</v>
      </c>
      <c r="AE331" s="261">
        <v>240550000</v>
      </c>
      <c r="AF331" s="261">
        <v>80150000</v>
      </c>
      <c r="AG331" s="261">
        <v>0</v>
      </c>
      <c r="AH331" s="261">
        <v>169000000</v>
      </c>
      <c r="AI331" s="261">
        <v>14300000</v>
      </c>
      <c r="AJ331" s="261">
        <v>631000000</v>
      </c>
      <c r="AK331" s="261">
        <v>0</v>
      </c>
      <c r="AL331" s="261">
        <v>0</v>
      </c>
      <c r="AM331" s="261">
        <v>169000000</v>
      </c>
      <c r="AN331" s="261">
        <v>169000000</v>
      </c>
      <c r="AO331" s="261">
        <v>14300000</v>
      </c>
      <c r="AP331" s="261">
        <v>631000000</v>
      </c>
      <c r="AQ331" s="9"/>
      <c r="AS331" s="9"/>
    </row>
    <row r="332" spans="1:45" s="1" customFormat="1" x14ac:dyDescent="0.25">
      <c r="A332" s="205">
        <v>30103010101</v>
      </c>
      <c r="B332" s="259" t="s">
        <v>559</v>
      </c>
      <c r="C332" s="261">
        <v>350000000</v>
      </c>
      <c r="D332" s="261">
        <v>0</v>
      </c>
      <c r="E332" s="261">
        <v>0</v>
      </c>
      <c r="F332" s="261">
        <v>0</v>
      </c>
      <c r="G332" s="261">
        <f>+C332+D332-E332+F332</f>
        <v>350000000</v>
      </c>
      <c r="H332" s="261">
        <v>0</v>
      </c>
      <c r="I332" s="261">
        <v>0</v>
      </c>
      <c r="J332" s="261">
        <f t="shared" si="163"/>
        <v>350000000</v>
      </c>
      <c r="K332" s="261">
        <v>0</v>
      </c>
      <c r="L332" s="261">
        <v>0</v>
      </c>
      <c r="M332" s="261">
        <f>+I332-L332</f>
        <v>0</v>
      </c>
      <c r="N332" s="261">
        <v>0</v>
      </c>
      <c r="O332" s="261">
        <v>0</v>
      </c>
      <c r="P332" s="261">
        <f>+O332-I332</f>
        <v>0</v>
      </c>
      <c r="Q332" s="177">
        <f t="shared" si="164"/>
        <v>350000000</v>
      </c>
      <c r="R332" s="261">
        <f>+L332</f>
        <v>0</v>
      </c>
      <c r="S332" s="257"/>
      <c r="T332" s="185">
        <v>30103010101</v>
      </c>
      <c r="U332" s="259" t="s">
        <v>559</v>
      </c>
      <c r="V332" s="261">
        <v>350000000</v>
      </c>
      <c r="W332" s="261">
        <v>0</v>
      </c>
      <c r="X332" s="261">
        <v>0</v>
      </c>
      <c r="Y332" s="261">
        <v>0</v>
      </c>
      <c r="Z332" s="261">
        <v>350000000</v>
      </c>
      <c r="AA332" s="261">
        <v>0</v>
      </c>
      <c r="AB332" s="261">
        <v>0</v>
      </c>
      <c r="AC332" s="261">
        <v>350000000</v>
      </c>
      <c r="AD332" s="261">
        <v>0</v>
      </c>
      <c r="AE332" s="261">
        <v>0</v>
      </c>
      <c r="AF332" s="261">
        <v>0</v>
      </c>
      <c r="AG332" s="261">
        <v>0</v>
      </c>
      <c r="AH332" s="261">
        <v>0</v>
      </c>
      <c r="AI332" s="261">
        <v>0</v>
      </c>
      <c r="AJ332" s="261">
        <v>350000000</v>
      </c>
      <c r="AK332" s="261">
        <v>0</v>
      </c>
      <c r="AL332" s="261">
        <v>0</v>
      </c>
      <c r="AM332" s="261">
        <v>169000000</v>
      </c>
      <c r="AN332" s="261">
        <v>169000000</v>
      </c>
      <c r="AO332" s="261">
        <v>14300000</v>
      </c>
      <c r="AP332" s="261">
        <v>631000000</v>
      </c>
      <c r="AQ332" s="261"/>
      <c r="AS332" s="261"/>
    </row>
    <row r="333" spans="1:45" s="1" customFormat="1" x14ac:dyDescent="0.25">
      <c r="A333" s="206">
        <v>30103010102</v>
      </c>
      <c r="B333" s="259" t="s">
        <v>560</v>
      </c>
      <c r="C333" s="261">
        <v>350000000</v>
      </c>
      <c r="D333" s="261">
        <v>0</v>
      </c>
      <c r="E333" s="261">
        <v>0</v>
      </c>
      <c r="F333" s="261">
        <v>0</v>
      </c>
      <c r="G333" s="261">
        <f>+C333+D333-E333+F333</f>
        <v>350000000</v>
      </c>
      <c r="H333" s="261">
        <v>0</v>
      </c>
      <c r="I333" s="261">
        <v>54700000</v>
      </c>
      <c r="J333" s="261">
        <f t="shared" si="163"/>
        <v>295300000</v>
      </c>
      <c r="K333" s="261">
        <v>6250000</v>
      </c>
      <c r="L333" s="261">
        <v>93950000</v>
      </c>
      <c r="M333" s="261">
        <f>+I333-L333</f>
        <v>-39250000</v>
      </c>
      <c r="N333" s="261">
        <v>0</v>
      </c>
      <c r="O333" s="261">
        <v>69000000</v>
      </c>
      <c r="P333" s="261">
        <f t="shared" ref="P333:P395" si="167">+O333-I333</f>
        <v>14300000</v>
      </c>
      <c r="Q333" s="177">
        <f t="shared" si="164"/>
        <v>281000000</v>
      </c>
      <c r="R333" s="261">
        <f t="shared" ref="R333:R395" si="168">+L333</f>
        <v>93950000</v>
      </c>
      <c r="S333" s="257"/>
      <c r="T333" s="185">
        <v>30103010102</v>
      </c>
      <c r="U333" s="259" t="s">
        <v>560</v>
      </c>
      <c r="V333" s="261">
        <v>350000000</v>
      </c>
      <c r="W333" s="261">
        <v>0</v>
      </c>
      <c r="X333" s="261">
        <v>0</v>
      </c>
      <c r="Y333" s="261">
        <v>0</v>
      </c>
      <c r="Z333" s="261">
        <v>350000000</v>
      </c>
      <c r="AA333" s="261">
        <v>0</v>
      </c>
      <c r="AB333" s="261">
        <v>54700000</v>
      </c>
      <c r="AC333" s="261">
        <v>295300000</v>
      </c>
      <c r="AD333" s="261">
        <v>6250000</v>
      </c>
      <c r="AE333" s="261">
        <v>93950000</v>
      </c>
      <c r="AF333" s="261">
        <v>26750000</v>
      </c>
      <c r="AG333" s="261">
        <v>0</v>
      </c>
      <c r="AH333" s="261">
        <v>69000000</v>
      </c>
      <c r="AI333" s="261">
        <v>14300000</v>
      </c>
      <c r="AJ333" s="261">
        <v>281000000</v>
      </c>
      <c r="AK333" s="261">
        <v>0</v>
      </c>
      <c r="AL333" s="261">
        <v>0</v>
      </c>
      <c r="AM333" s="261">
        <v>0</v>
      </c>
      <c r="AN333" s="261">
        <v>0</v>
      </c>
      <c r="AO333" s="261">
        <v>0</v>
      </c>
      <c r="AP333" s="261">
        <v>350000000</v>
      </c>
      <c r="AQ333" s="261"/>
      <c r="AS333" s="261"/>
    </row>
    <row r="334" spans="1:45" x14ac:dyDescent="0.25">
      <c r="A334" s="204">
        <v>30103010103</v>
      </c>
      <c r="B334" s="259" t="s">
        <v>561</v>
      </c>
      <c r="C334" s="261">
        <v>100000000</v>
      </c>
      <c r="D334" s="261">
        <v>0</v>
      </c>
      <c r="E334" s="261">
        <v>0</v>
      </c>
      <c r="F334" s="261">
        <v>0</v>
      </c>
      <c r="G334" s="261">
        <f>+C334+D334-E334+F334</f>
        <v>100000000</v>
      </c>
      <c r="H334" s="261">
        <v>0</v>
      </c>
      <c r="I334" s="261">
        <v>100000000</v>
      </c>
      <c r="J334" s="261">
        <f t="shared" si="163"/>
        <v>0</v>
      </c>
      <c r="K334" s="261">
        <v>12200000</v>
      </c>
      <c r="L334" s="261">
        <v>146600000</v>
      </c>
      <c r="M334" s="261">
        <f t="shared" ref="M334:M397" si="169">+I334-L334</f>
        <v>-46600000</v>
      </c>
      <c r="N334" s="261">
        <v>0</v>
      </c>
      <c r="O334" s="261">
        <v>100000000</v>
      </c>
      <c r="P334" s="261">
        <f t="shared" si="167"/>
        <v>0</v>
      </c>
      <c r="Q334" s="177">
        <f t="shared" si="164"/>
        <v>0</v>
      </c>
      <c r="R334" s="261">
        <f t="shared" si="168"/>
        <v>146600000</v>
      </c>
      <c r="T334" s="185">
        <v>30103010103</v>
      </c>
      <c r="U334" s="259" t="s">
        <v>561</v>
      </c>
      <c r="V334" s="261">
        <v>100000000</v>
      </c>
      <c r="W334" s="261">
        <v>0</v>
      </c>
      <c r="X334" s="261">
        <v>0</v>
      </c>
      <c r="Y334" s="261">
        <v>0</v>
      </c>
      <c r="Z334" s="261">
        <v>100000000</v>
      </c>
      <c r="AA334" s="261">
        <v>0</v>
      </c>
      <c r="AB334" s="261">
        <v>100000000</v>
      </c>
      <c r="AC334" s="261">
        <v>0</v>
      </c>
      <c r="AD334" s="261">
        <v>12200000</v>
      </c>
      <c r="AE334" s="261">
        <v>146600000</v>
      </c>
      <c r="AF334" s="261">
        <v>53400000</v>
      </c>
      <c r="AG334" s="261">
        <v>0</v>
      </c>
      <c r="AH334" s="261">
        <v>100000000</v>
      </c>
      <c r="AI334" s="261">
        <v>0</v>
      </c>
      <c r="AJ334" s="261">
        <v>0</v>
      </c>
      <c r="AK334" s="261">
        <v>0</v>
      </c>
      <c r="AL334" s="261">
        <v>0</v>
      </c>
      <c r="AM334" s="261">
        <v>69000000</v>
      </c>
      <c r="AN334" s="261">
        <v>69000000</v>
      </c>
      <c r="AO334" s="261">
        <v>14300000</v>
      </c>
      <c r="AP334" s="261">
        <v>281000000</v>
      </c>
      <c r="AQ334" s="261"/>
      <c r="AS334" s="261"/>
    </row>
    <row r="335" spans="1:45" x14ac:dyDescent="0.25">
      <c r="A335" s="7">
        <v>3010302</v>
      </c>
      <c r="B335" s="8" t="s">
        <v>562</v>
      </c>
      <c r="C335" s="9">
        <f>+C336</f>
        <v>1125000000</v>
      </c>
      <c r="D335" s="9">
        <f t="shared" ref="D335:R336" si="170">+D336</f>
        <v>0</v>
      </c>
      <c r="E335" s="9">
        <f t="shared" si="170"/>
        <v>0</v>
      </c>
      <c r="F335" s="9">
        <f t="shared" si="170"/>
        <v>0</v>
      </c>
      <c r="G335" s="9">
        <f t="shared" si="170"/>
        <v>1125000000</v>
      </c>
      <c r="H335" s="9">
        <f t="shared" si="170"/>
        <v>6599928</v>
      </c>
      <c r="I335" s="9">
        <f t="shared" si="170"/>
        <v>64329868</v>
      </c>
      <c r="J335" s="9">
        <f t="shared" si="163"/>
        <v>1060670132</v>
      </c>
      <c r="K335" s="9">
        <f t="shared" si="170"/>
        <v>6599928</v>
      </c>
      <c r="L335" s="9">
        <f t="shared" si="170"/>
        <v>6599928</v>
      </c>
      <c r="M335" s="9">
        <f t="shared" si="170"/>
        <v>57729940</v>
      </c>
      <c r="N335" s="9">
        <f t="shared" si="170"/>
        <v>79724240</v>
      </c>
      <c r="O335" s="9">
        <f t="shared" si="170"/>
        <v>144404180</v>
      </c>
      <c r="P335" s="9">
        <f t="shared" si="170"/>
        <v>80074312</v>
      </c>
      <c r="Q335" s="9">
        <f t="shared" si="164"/>
        <v>980595820</v>
      </c>
      <c r="R335" s="9">
        <f t="shared" si="170"/>
        <v>6599928</v>
      </c>
      <c r="S335" s="1"/>
      <c r="T335" s="185">
        <v>3010302</v>
      </c>
      <c r="U335" s="259" t="s">
        <v>562</v>
      </c>
      <c r="V335" s="261">
        <v>1125000000</v>
      </c>
      <c r="W335" s="261">
        <v>0</v>
      </c>
      <c r="X335" s="261">
        <v>0</v>
      </c>
      <c r="Y335" s="261">
        <v>0</v>
      </c>
      <c r="Z335" s="261">
        <v>1125000000</v>
      </c>
      <c r="AA335" s="261">
        <v>6599928</v>
      </c>
      <c r="AB335" s="261">
        <v>64329868</v>
      </c>
      <c r="AC335" s="261">
        <v>1060670132</v>
      </c>
      <c r="AD335" s="261">
        <v>6599928</v>
      </c>
      <c r="AE335" s="261">
        <v>6599928</v>
      </c>
      <c r="AF335" s="261">
        <v>57729940</v>
      </c>
      <c r="AG335" s="261">
        <v>79724240</v>
      </c>
      <c r="AH335" s="261">
        <v>144404180</v>
      </c>
      <c r="AI335" s="261">
        <v>80074312</v>
      </c>
      <c r="AJ335" s="261">
        <v>980595820</v>
      </c>
      <c r="AK335" s="261">
        <v>0</v>
      </c>
      <c r="AL335" s="261">
        <v>0</v>
      </c>
      <c r="AM335" s="261">
        <v>100000000</v>
      </c>
      <c r="AN335" s="261">
        <v>100000000</v>
      </c>
      <c r="AO335" s="261">
        <v>0</v>
      </c>
      <c r="AP335" s="261">
        <v>0</v>
      </c>
      <c r="AQ335" s="9"/>
      <c r="AS335" s="9"/>
    </row>
    <row r="336" spans="1:45" s="1" customFormat="1" x14ac:dyDescent="0.25">
      <c r="A336" s="7">
        <v>301030201</v>
      </c>
      <c r="B336" s="8" t="s">
        <v>563</v>
      </c>
      <c r="C336" s="9">
        <f>+C337</f>
        <v>1125000000</v>
      </c>
      <c r="D336" s="9">
        <f t="shared" si="170"/>
        <v>0</v>
      </c>
      <c r="E336" s="9">
        <f t="shared" si="170"/>
        <v>0</v>
      </c>
      <c r="F336" s="9">
        <f t="shared" si="170"/>
        <v>0</v>
      </c>
      <c r="G336" s="9">
        <f t="shared" si="170"/>
        <v>1125000000</v>
      </c>
      <c r="H336" s="9">
        <f t="shared" si="170"/>
        <v>6599928</v>
      </c>
      <c r="I336" s="9">
        <f t="shared" si="170"/>
        <v>64329868</v>
      </c>
      <c r="J336" s="9">
        <f t="shared" si="163"/>
        <v>1060670132</v>
      </c>
      <c r="K336" s="9">
        <f t="shared" si="170"/>
        <v>6599928</v>
      </c>
      <c r="L336" s="9">
        <f t="shared" si="170"/>
        <v>6599928</v>
      </c>
      <c r="M336" s="9">
        <f t="shared" si="170"/>
        <v>57729940</v>
      </c>
      <c r="N336" s="9">
        <f t="shared" si="170"/>
        <v>79724240</v>
      </c>
      <c r="O336" s="9">
        <f t="shared" si="170"/>
        <v>144404180</v>
      </c>
      <c r="P336" s="9">
        <f t="shared" si="170"/>
        <v>80074312</v>
      </c>
      <c r="Q336" s="9">
        <f t="shared" si="164"/>
        <v>980595820</v>
      </c>
      <c r="R336" s="9">
        <f t="shared" si="170"/>
        <v>6599928</v>
      </c>
      <c r="T336" s="185">
        <v>301030201</v>
      </c>
      <c r="U336" s="259" t="s">
        <v>563</v>
      </c>
      <c r="V336" s="261">
        <v>1125000000</v>
      </c>
      <c r="W336" s="261">
        <v>0</v>
      </c>
      <c r="X336" s="261">
        <v>0</v>
      </c>
      <c r="Y336" s="261">
        <v>0</v>
      </c>
      <c r="Z336" s="261">
        <v>1125000000</v>
      </c>
      <c r="AA336" s="261">
        <v>6599928</v>
      </c>
      <c r="AB336" s="261">
        <v>64329868</v>
      </c>
      <c r="AC336" s="261">
        <v>1060670132</v>
      </c>
      <c r="AD336" s="261">
        <v>6599928</v>
      </c>
      <c r="AE336" s="261">
        <v>6599928</v>
      </c>
      <c r="AF336" s="261">
        <v>57729940</v>
      </c>
      <c r="AG336" s="261">
        <v>79724240</v>
      </c>
      <c r="AH336" s="261">
        <v>144404180</v>
      </c>
      <c r="AI336" s="261">
        <v>80074312</v>
      </c>
      <c r="AJ336" s="261">
        <v>980595820</v>
      </c>
      <c r="AK336" s="261">
        <v>0</v>
      </c>
      <c r="AL336" s="261">
        <v>0</v>
      </c>
      <c r="AM336" s="261">
        <v>64679940</v>
      </c>
      <c r="AN336" s="261">
        <v>64679940</v>
      </c>
      <c r="AO336" s="261">
        <v>350072</v>
      </c>
      <c r="AP336" s="261">
        <v>1060320060</v>
      </c>
      <c r="AQ336" s="9"/>
      <c r="AS336" s="9"/>
    </row>
    <row r="337" spans="1:45" s="1" customFormat="1" x14ac:dyDescent="0.25">
      <c r="A337" s="7">
        <v>30103020101</v>
      </c>
      <c r="B337" s="8" t="s">
        <v>564</v>
      </c>
      <c r="C337" s="9">
        <f>+C338+C339</f>
        <v>1125000000</v>
      </c>
      <c r="D337" s="9">
        <f t="shared" ref="D337:R337" si="171">+D338+D339</f>
        <v>0</v>
      </c>
      <c r="E337" s="9">
        <f t="shared" si="171"/>
        <v>0</v>
      </c>
      <c r="F337" s="9">
        <f t="shared" si="171"/>
        <v>0</v>
      </c>
      <c r="G337" s="9">
        <f t="shared" si="171"/>
        <v>1125000000</v>
      </c>
      <c r="H337" s="9">
        <f t="shared" si="171"/>
        <v>6599928</v>
      </c>
      <c r="I337" s="9">
        <f t="shared" si="171"/>
        <v>64329868</v>
      </c>
      <c r="J337" s="9">
        <f t="shared" si="163"/>
        <v>1060670132</v>
      </c>
      <c r="K337" s="9">
        <f t="shared" si="171"/>
        <v>6599928</v>
      </c>
      <c r="L337" s="9">
        <f t="shared" si="171"/>
        <v>6599928</v>
      </c>
      <c r="M337" s="9">
        <f t="shared" si="171"/>
        <v>57729940</v>
      </c>
      <c r="N337" s="9">
        <f t="shared" si="171"/>
        <v>79724240</v>
      </c>
      <c r="O337" s="9">
        <f t="shared" si="171"/>
        <v>144404180</v>
      </c>
      <c r="P337" s="9">
        <f t="shared" si="171"/>
        <v>80074312</v>
      </c>
      <c r="Q337" s="9">
        <f t="shared" si="164"/>
        <v>980595820</v>
      </c>
      <c r="R337" s="9">
        <f t="shared" si="171"/>
        <v>6599928</v>
      </c>
      <c r="T337" s="185">
        <v>30103020101</v>
      </c>
      <c r="U337" s="259" t="s">
        <v>564</v>
      </c>
      <c r="V337" s="261">
        <v>1125000000</v>
      </c>
      <c r="W337" s="261">
        <v>0</v>
      </c>
      <c r="X337" s="261">
        <v>0</v>
      </c>
      <c r="Y337" s="261">
        <v>0</v>
      </c>
      <c r="Z337" s="261">
        <v>1125000000</v>
      </c>
      <c r="AA337" s="261">
        <v>6599928</v>
      </c>
      <c r="AB337" s="261">
        <v>64329868</v>
      </c>
      <c r="AC337" s="261">
        <v>1060670132</v>
      </c>
      <c r="AD337" s="261">
        <v>6599928</v>
      </c>
      <c r="AE337" s="261">
        <v>6599928</v>
      </c>
      <c r="AF337" s="261">
        <v>57729940</v>
      </c>
      <c r="AG337" s="261">
        <v>79724240</v>
      </c>
      <c r="AH337" s="261">
        <v>144404180</v>
      </c>
      <c r="AI337" s="261">
        <v>80074312</v>
      </c>
      <c r="AJ337" s="261">
        <v>980595820</v>
      </c>
      <c r="AK337" s="261">
        <v>0</v>
      </c>
      <c r="AL337" s="261">
        <v>0</v>
      </c>
      <c r="AM337" s="261">
        <v>64679940</v>
      </c>
      <c r="AN337" s="261">
        <v>64679940</v>
      </c>
      <c r="AO337" s="261">
        <v>350072</v>
      </c>
      <c r="AP337" s="261">
        <v>1060320060</v>
      </c>
      <c r="AQ337" s="9"/>
      <c r="AS337" s="9"/>
    </row>
    <row r="338" spans="1:45" s="1" customFormat="1" x14ac:dyDescent="0.25">
      <c r="A338" s="205">
        <v>3010302010101</v>
      </c>
      <c r="B338" s="259" t="s">
        <v>565</v>
      </c>
      <c r="C338" s="261">
        <v>725000000</v>
      </c>
      <c r="D338" s="261">
        <v>0</v>
      </c>
      <c r="E338" s="261">
        <v>0</v>
      </c>
      <c r="F338" s="261">
        <v>0</v>
      </c>
      <c r="G338" s="261">
        <f>+C338+D338-E338+F338</f>
        <v>725000000</v>
      </c>
      <c r="H338" s="261">
        <v>0</v>
      </c>
      <c r="I338" s="261">
        <v>0</v>
      </c>
      <c r="J338" s="261">
        <f t="shared" si="163"/>
        <v>725000000</v>
      </c>
      <c r="K338" s="261">
        <v>0</v>
      </c>
      <c r="L338" s="261">
        <v>0</v>
      </c>
      <c r="M338" s="261">
        <f t="shared" si="169"/>
        <v>0</v>
      </c>
      <c r="N338" s="261">
        <v>0</v>
      </c>
      <c r="O338" s="261">
        <v>0</v>
      </c>
      <c r="P338" s="261">
        <f t="shared" si="167"/>
        <v>0</v>
      </c>
      <c r="Q338" s="177">
        <f t="shared" si="164"/>
        <v>725000000</v>
      </c>
      <c r="R338" s="261">
        <f t="shared" si="168"/>
        <v>0</v>
      </c>
      <c r="S338" s="257"/>
      <c r="T338" s="185">
        <v>3010302010101</v>
      </c>
      <c r="U338" s="259" t="s">
        <v>565</v>
      </c>
      <c r="V338" s="261">
        <v>725000000</v>
      </c>
      <c r="W338" s="261">
        <v>0</v>
      </c>
      <c r="X338" s="261">
        <v>0</v>
      </c>
      <c r="Y338" s="261">
        <v>0</v>
      </c>
      <c r="Z338" s="261">
        <v>725000000</v>
      </c>
      <c r="AA338" s="261">
        <v>0</v>
      </c>
      <c r="AB338" s="261">
        <v>0</v>
      </c>
      <c r="AC338" s="261">
        <v>725000000</v>
      </c>
      <c r="AD338" s="261">
        <v>0</v>
      </c>
      <c r="AE338" s="261">
        <v>0</v>
      </c>
      <c r="AF338" s="261">
        <v>0</v>
      </c>
      <c r="AG338" s="261">
        <v>0</v>
      </c>
      <c r="AH338" s="261">
        <v>0</v>
      </c>
      <c r="AI338" s="261">
        <v>0</v>
      </c>
      <c r="AJ338" s="261">
        <v>725000000</v>
      </c>
      <c r="AK338" s="261">
        <v>0</v>
      </c>
      <c r="AL338" s="261">
        <v>0</v>
      </c>
      <c r="AM338" s="261">
        <v>64679940</v>
      </c>
      <c r="AN338" s="261">
        <v>64679940</v>
      </c>
      <c r="AO338" s="261">
        <v>350072</v>
      </c>
      <c r="AP338" s="261">
        <v>1060320060</v>
      </c>
      <c r="AQ338" s="261"/>
      <c r="AS338" s="261"/>
    </row>
    <row r="339" spans="1:45" x14ac:dyDescent="0.25">
      <c r="A339" s="206">
        <v>3010302010102</v>
      </c>
      <c r="B339" s="259" t="s">
        <v>566</v>
      </c>
      <c r="C339" s="261">
        <v>400000000</v>
      </c>
      <c r="D339" s="261">
        <v>0</v>
      </c>
      <c r="E339" s="261">
        <v>0</v>
      </c>
      <c r="F339" s="261">
        <v>0</v>
      </c>
      <c r="G339" s="261">
        <f>+C339+D339-E339+F339</f>
        <v>400000000</v>
      </c>
      <c r="H339" s="261">
        <v>6599928</v>
      </c>
      <c r="I339" s="261">
        <v>64329868</v>
      </c>
      <c r="J339" s="261">
        <f t="shared" si="163"/>
        <v>335670132</v>
      </c>
      <c r="K339" s="261">
        <v>6599928</v>
      </c>
      <c r="L339" s="261">
        <v>6599928</v>
      </c>
      <c r="M339" s="261">
        <f t="shared" si="169"/>
        <v>57729940</v>
      </c>
      <c r="N339" s="261">
        <v>79724240</v>
      </c>
      <c r="O339" s="261">
        <v>144404180</v>
      </c>
      <c r="P339" s="261">
        <f t="shared" si="167"/>
        <v>80074312</v>
      </c>
      <c r="Q339" s="177">
        <f t="shared" si="164"/>
        <v>255595820</v>
      </c>
      <c r="R339" s="261">
        <f t="shared" si="168"/>
        <v>6599928</v>
      </c>
      <c r="T339" s="185">
        <v>3010302010102</v>
      </c>
      <c r="U339" s="259" t="s">
        <v>566</v>
      </c>
      <c r="V339" s="261">
        <v>400000000</v>
      </c>
      <c r="W339" s="261">
        <v>0</v>
      </c>
      <c r="X339" s="261">
        <v>0</v>
      </c>
      <c r="Y339" s="261">
        <v>0</v>
      </c>
      <c r="Z339" s="261">
        <v>400000000</v>
      </c>
      <c r="AA339" s="261">
        <v>6599928</v>
      </c>
      <c r="AB339" s="261">
        <v>64329868</v>
      </c>
      <c r="AC339" s="261">
        <v>335670132</v>
      </c>
      <c r="AD339" s="261">
        <v>6599928</v>
      </c>
      <c r="AE339" s="261">
        <v>6599928</v>
      </c>
      <c r="AF339" s="261">
        <v>57729940</v>
      </c>
      <c r="AG339" s="261">
        <v>79724240</v>
      </c>
      <c r="AH339" s="261">
        <v>144404180</v>
      </c>
      <c r="AI339" s="261">
        <v>80074312</v>
      </c>
      <c r="AJ339" s="261">
        <v>255595820</v>
      </c>
      <c r="AK339" s="261">
        <v>0</v>
      </c>
      <c r="AL339" s="261">
        <v>0</v>
      </c>
      <c r="AM339" s="261">
        <v>0</v>
      </c>
      <c r="AN339" s="261">
        <v>0</v>
      </c>
      <c r="AO339" s="261">
        <v>0</v>
      </c>
      <c r="AP339" s="261">
        <v>725000000</v>
      </c>
      <c r="AQ339" s="261"/>
      <c r="AS339" s="261"/>
    </row>
    <row r="340" spans="1:45" x14ac:dyDescent="0.25">
      <c r="A340" s="4">
        <v>30104</v>
      </c>
      <c r="B340" s="5" t="s">
        <v>567</v>
      </c>
      <c r="C340" s="6">
        <f>+C341</f>
        <v>200000000</v>
      </c>
      <c r="D340" s="6">
        <f t="shared" ref="D340:R341" si="172">+D341</f>
        <v>0</v>
      </c>
      <c r="E340" s="6">
        <f t="shared" si="172"/>
        <v>0</v>
      </c>
      <c r="F340" s="6">
        <f t="shared" si="172"/>
        <v>0</v>
      </c>
      <c r="G340" s="6">
        <f t="shared" si="172"/>
        <v>200000000</v>
      </c>
      <c r="H340" s="6">
        <f t="shared" si="172"/>
        <v>4800000</v>
      </c>
      <c r="I340" s="6">
        <f t="shared" si="172"/>
        <v>28536942.75</v>
      </c>
      <c r="J340" s="6">
        <f t="shared" si="163"/>
        <v>171463057.25</v>
      </c>
      <c r="K340" s="6">
        <f t="shared" si="172"/>
        <v>1500000</v>
      </c>
      <c r="L340" s="6">
        <f t="shared" si="172"/>
        <v>15236942.75</v>
      </c>
      <c r="M340" s="6">
        <f t="shared" si="172"/>
        <v>13300000</v>
      </c>
      <c r="N340" s="6">
        <f t="shared" si="172"/>
        <v>4800000</v>
      </c>
      <c r="O340" s="6">
        <f t="shared" si="172"/>
        <v>43536942.75</v>
      </c>
      <c r="P340" s="6">
        <f t="shared" si="172"/>
        <v>15000000</v>
      </c>
      <c r="Q340" s="6">
        <f t="shared" si="164"/>
        <v>156463057.25</v>
      </c>
      <c r="R340" s="6">
        <f t="shared" si="172"/>
        <v>15236942.75</v>
      </c>
      <c r="S340" s="1"/>
      <c r="T340" s="185">
        <v>30104</v>
      </c>
      <c r="U340" s="259" t="s">
        <v>567</v>
      </c>
      <c r="V340" s="261">
        <v>200000000</v>
      </c>
      <c r="W340" s="261">
        <v>0</v>
      </c>
      <c r="X340" s="261">
        <v>0</v>
      </c>
      <c r="Y340" s="261">
        <v>0</v>
      </c>
      <c r="Z340" s="261">
        <v>200000000</v>
      </c>
      <c r="AA340" s="261">
        <v>4800000</v>
      </c>
      <c r="AB340" s="261">
        <v>28536942.75</v>
      </c>
      <c r="AC340" s="261">
        <v>171463057.25</v>
      </c>
      <c r="AD340" s="261">
        <v>1500000</v>
      </c>
      <c r="AE340" s="261">
        <v>15236942.75</v>
      </c>
      <c r="AF340" s="261">
        <v>13300000</v>
      </c>
      <c r="AG340" s="261">
        <v>4800000</v>
      </c>
      <c r="AH340" s="261">
        <v>43536942.75</v>
      </c>
      <c r="AI340" s="261">
        <v>15000000</v>
      </c>
      <c r="AJ340" s="261">
        <v>156463057.25</v>
      </c>
      <c r="AK340" s="261">
        <v>0</v>
      </c>
      <c r="AL340" s="261">
        <v>0</v>
      </c>
      <c r="AM340" s="261">
        <v>64679940</v>
      </c>
      <c r="AN340" s="261">
        <v>64679940</v>
      </c>
      <c r="AO340" s="261">
        <v>350072</v>
      </c>
      <c r="AP340" s="261">
        <v>335320060</v>
      </c>
      <c r="AQ340" s="6"/>
      <c r="AS340" s="6"/>
    </row>
    <row r="341" spans="1:45" s="1" customFormat="1" x14ac:dyDescent="0.25">
      <c r="A341" s="7">
        <v>3010401</v>
      </c>
      <c r="B341" s="8" t="s">
        <v>568</v>
      </c>
      <c r="C341" s="9">
        <f>+C342</f>
        <v>200000000</v>
      </c>
      <c r="D341" s="9">
        <f t="shared" si="172"/>
        <v>0</v>
      </c>
      <c r="E341" s="9">
        <f t="shared" si="172"/>
        <v>0</v>
      </c>
      <c r="F341" s="9">
        <f t="shared" si="172"/>
        <v>0</v>
      </c>
      <c r="G341" s="9">
        <f t="shared" si="172"/>
        <v>200000000</v>
      </c>
      <c r="H341" s="9">
        <f t="shared" si="172"/>
        <v>4800000</v>
      </c>
      <c r="I341" s="9">
        <f t="shared" si="172"/>
        <v>28536942.75</v>
      </c>
      <c r="J341" s="9">
        <f t="shared" si="163"/>
        <v>171463057.25</v>
      </c>
      <c r="K341" s="9">
        <f t="shared" si="172"/>
        <v>1500000</v>
      </c>
      <c r="L341" s="9">
        <f t="shared" si="172"/>
        <v>15236942.75</v>
      </c>
      <c r="M341" s="9">
        <f t="shared" si="172"/>
        <v>13300000</v>
      </c>
      <c r="N341" s="9">
        <f t="shared" si="172"/>
        <v>4800000</v>
      </c>
      <c r="O341" s="9">
        <f t="shared" si="172"/>
        <v>43536942.75</v>
      </c>
      <c r="P341" s="9">
        <f t="shared" si="172"/>
        <v>15000000</v>
      </c>
      <c r="Q341" s="9">
        <f t="shared" si="164"/>
        <v>156463057.25</v>
      </c>
      <c r="R341" s="9">
        <f t="shared" si="172"/>
        <v>15236942.75</v>
      </c>
      <c r="T341" s="185">
        <v>3010401</v>
      </c>
      <c r="U341" s="259" t="s">
        <v>568</v>
      </c>
      <c r="V341" s="261">
        <v>200000000</v>
      </c>
      <c r="W341" s="261">
        <v>0</v>
      </c>
      <c r="X341" s="261">
        <v>0</v>
      </c>
      <c r="Y341" s="261">
        <v>0</v>
      </c>
      <c r="Z341" s="261">
        <v>200000000</v>
      </c>
      <c r="AA341" s="261">
        <v>4800000</v>
      </c>
      <c r="AB341" s="261">
        <v>28536942.75</v>
      </c>
      <c r="AC341" s="261">
        <v>171463057.25</v>
      </c>
      <c r="AD341" s="261">
        <v>1500000</v>
      </c>
      <c r="AE341" s="261">
        <v>15236942.75</v>
      </c>
      <c r="AF341" s="261">
        <v>13300000</v>
      </c>
      <c r="AG341" s="261">
        <v>4800000</v>
      </c>
      <c r="AH341" s="261">
        <v>43536942.75</v>
      </c>
      <c r="AI341" s="261">
        <v>15000000</v>
      </c>
      <c r="AJ341" s="261">
        <v>156463057.25</v>
      </c>
      <c r="AK341" s="261">
        <v>1000000</v>
      </c>
      <c r="AL341" s="261">
        <v>1500000</v>
      </c>
      <c r="AM341" s="261">
        <v>41236942.75</v>
      </c>
      <c r="AN341" s="261">
        <v>40236942.75</v>
      </c>
      <c r="AO341" s="261">
        <v>15000000</v>
      </c>
      <c r="AP341" s="261">
        <v>159763057.25</v>
      </c>
      <c r="AQ341" s="9"/>
      <c r="AS341" s="9"/>
    </row>
    <row r="342" spans="1:45" s="1" customFormat="1" x14ac:dyDescent="0.25">
      <c r="A342" s="7">
        <v>301040101</v>
      </c>
      <c r="B342" s="8" t="s">
        <v>569</v>
      </c>
      <c r="C342" s="9">
        <f>+C343+C344</f>
        <v>200000000</v>
      </c>
      <c r="D342" s="9">
        <f t="shared" ref="D342:R342" si="173">+D343+D344</f>
        <v>0</v>
      </c>
      <c r="E342" s="9">
        <f t="shared" si="173"/>
        <v>0</v>
      </c>
      <c r="F342" s="9">
        <f t="shared" si="173"/>
        <v>0</v>
      </c>
      <c r="G342" s="9">
        <f t="shared" si="173"/>
        <v>200000000</v>
      </c>
      <c r="H342" s="9">
        <f t="shared" si="173"/>
        <v>4800000</v>
      </c>
      <c r="I342" s="9">
        <f t="shared" si="173"/>
        <v>28536942.75</v>
      </c>
      <c r="J342" s="9">
        <f t="shared" si="163"/>
        <v>171463057.25</v>
      </c>
      <c r="K342" s="9">
        <f t="shared" si="173"/>
        <v>1500000</v>
      </c>
      <c r="L342" s="9">
        <f t="shared" si="173"/>
        <v>15236942.75</v>
      </c>
      <c r="M342" s="9">
        <f t="shared" si="173"/>
        <v>13300000</v>
      </c>
      <c r="N342" s="9">
        <f t="shared" si="173"/>
        <v>4800000</v>
      </c>
      <c r="O342" s="9">
        <f t="shared" si="173"/>
        <v>43536942.75</v>
      </c>
      <c r="P342" s="9">
        <f t="shared" si="173"/>
        <v>15000000</v>
      </c>
      <c r="Q342" s="9">
        <f t="shared" si="164"/>
        <v>156463057.25</v>
      </c>
      <c r="R342" s="9">
        <f t="shared" si="173"/>
        <v>15236942.75</v>
      </c>
      <c r="T342" s="185">
        <v>301040101</v>
      </c>
      <c r="U342" s="259" t="s">
        <v>569</v>
      </c>
      <c r="V342" s="261">
        <v>200000000</v>
      </c>
      <c r="W342" s="261">
        <v>0</v>
      </c>
      <c r="X342" s="261">
        <v>0</v>
      </c>
      <c r="Y342" s="261">
        <v>0</v>
      </c>
      <c r="Z342" s="261">
        <v>200000000</v>
      </c>
      <c r="AA342" s="261">
        <v>4800000</v>
      </c>
      <c r="AB342" s="261">
        <v>28536942.75</v>
      </c>
      <c r="AC342" s="261">
        <v>171463057.25</v>
      </c>
      <c r="AD342" s="261">
        <v>1500000</v>
      </c>
      <c r="AE342" s="261">
        <v>15236942.75</v>
      </c>
      <c r="AF342" s="261">
        <v>13300000</v>
      </c>
      <c r="AG342" s="261">
        <v>4800000</v>
      </c>
      <c r="AH342" s="261">
        <v>43536942.75</v>
      </c>
      <c r="AI342" s="261">
        <v>15000000</v>
      </c>
      <c r="AJ342" s="261">
        <v>156463057.25</v>
      </c>
      <c r="AK342" s="261">
        <v>1000000</v>
      </c>
      <c r="AL342" s="261">
        <v>1500000</v>
      </c>
      <c r="AM342" s="261">
        <v>41236942.75</v>
      </c>
      <c r="AN342" s="261">
        <v>40236942.75</v>
      </c>
      <c r="AO342" s="261">
        <v>15000000</v>
      </c>
      <c r="AP342" s="261">
        <v>159763057.25</v>
      </c>
      <c r="AQ342" s="9"/>
      <c r="AS342" s="9"/>
    </row>
    <row r="343" spans="1:45" s="1" customFormat="1" x14ac:dyDescent="0.25">
      <c r="A343" s="205">
        <v>30104010101</v>
      </c>
      <c r="B343" s="259" t="s">
        <v>570</v>
      </c>
      <c r="C343" s="261">
        <v>80000000</v>
      </c>
      <c r="D343" s="261">
        <v>0</v>
      </c>
      <c r="E343" s="261">
        <v>0</v>
      </c>
      <c r="F343" s="261">
        <v>0</v>
      </c>
      <c r="G343" s="261">
        <f>+C343+D343-E343+F343</f>
        <v>80000000</v>
      </c>
      <c r="H343" s="261">
        <v>0</v>
      </c>
      <c r="I343" s="261">
        <v>0</v>
      </c>
      <c r="J343" s="261">
        <f t="shared" si="163"/>
        <v>80000000</v>
      </c>
      <c r="K343" s="261">
        <v>0</v>
      </c>
      <c r="L343" s="261">
        <v>0</v>
      </c>
      <c r="M343" s="261">
        <f t="shared" si="169"/>
        <v>0</v>
      </c>
      <c r="N343" s="261">
        <v>0</v>
      </c>
      <c r="O343" s="261">
        <v>0</v>
      </c>
      <c r="P343" s="261">
        <f t="shared" si="167"/>
        <v>0</v>
      </c>
      <c r="Q343" s="177">
        <f t="shared" si="164"/>
        <v>80000000</v>
      </c>
      <c r="R343" s="261">
        <f t="shared" si="168"/>
        <v>0</v>
      </c>
      <c r="S343" s="257"/>
      <c r="T343" s="185">
        <v>30104010101</v>
      </c>
      <c r="U343" s="259" t="s">
        <v>570</v>
      </c>
      <c r="V343" s="261">
        <v>80000000</v>
      </c>
      <c r="W343" s="261">
        <v>0</v>
      </c>
      <c r="X343" s="261">
        <v>0</v>
      </c>
      <c r="Y343" s="261">
        <v>0</v>
      </c>
      <c r="Z343" s="261">
        <v>80000000</v>
      </c>
      <c r="AA343" s="261">
        <v>0</v>
      </c>
      <c r="AB343" s="261">
        <v>0</v>
      </c>
      <c r="AC343" s="261">
        <v>80000000</v>
      </c>
      <c r="AD343" s="261">
        <v>0</v>
      </c>
      <c r="AE343" s="261">
        <v>0</v>
      </c>
      <c r="AF343" s="261">
        <v>0</v>
      </c>
      <c r="AG343" s="261">
        <v>0</v>
      </c>
      <c r="AH343" s="261">
        <v>0</v>
      </c>
      <c r="AI343" s="261">
        <v>0</v>
      </c>
      <c r="AJ343" s="261">
        <v>80000000</v>
      </c>
      <c r="AK343" s="261">
        <v>1000000</v>
      </c>
      <c r="AL343" s="261">
        <v>1500000</v>
      </c>
      <c r="AM343" s="261">
        <v>41236942.75</v>
      </c>
      <c r="AN343" s="261">
        <v>40236942.75</v>
      </c>
      <c r="AO343" s="261">
        <v>15000000</v>
      </c>
      <c r="AP343" s="261">
        <v>159763057.25</v>
      </c>
      <c r="AQ343" s="261"/>
      <c r="AS343" s="261"/>
    </row>
    <row r="344" spans="1:45" s="1" customFormat="1" x14ac:dyDescent="0.25">
      <c r="A344" s="206">
        <v>30104010102</v>
      </c>
      <c r="B344" s="259" t="s">
        <v>571</v>
      </c>
      <c r="C344" s="261">
        <v>120000000</v>
      </c>
      <c r="D344" s="261">
        <v>0</v>
      </c>
      <c r="E344" s="261">
        <v>0</v>
      </c>
      <c r="F344" s="261">
        <v>0</v>
      </c>
      <c r="G344" s="261">
        <f>+C344+D344-E344+F344</f>
        <v>120000000</v>
      </c>
      <c r="H344" s="261">
        <v>4800000</v>
      </c>
      <c r="I344" s="261">
        <v>28536942.75</v>
      </c>
      <c r="J344" s="261">
        <f t="shared" si="163"/>
        <v>91463057.25</v>
      </c>
      <c r="K344" s="261">
        <v>1500000</v>
      </c>
      <c r="L344" s="261">
        <v>15236942.75</v>
      </c>
      <c r="M344" s="261">
        <f t="shared" si="169"/>
        <v>13300000</v>
      </c>
      <c r="N344" s="261">
        <v>4800000</v>
      </c>
      <c r="O344" s="261">
        <v>43536942.75</v>
      </c>
      <c r="P344" s="261">
        <f t="shared" si="167"/>
        <v>15000000</v>
      </c>
      <c r="Q344" s="177">
        <f t="shared" si="164"/>
        <v>76463057.25</v>
      </c>
      <c r="R344" s="261">
        <f t="shared" si="168"/>
        <v>15236942.75</v>
      </c>
      <c r="S344" s="257"/>
      <c r="T344" s="185">
        <v>30104010102</v>
      </c>
      <c r="U344" s="259" t="s">
        <v>571</v>
      </c>
      <c r="V344" s="261">
        <v>120000000</v>
      </c>
      <c r="W344" s="261">
        <v>0</v>
      </c>
      <c r="X344" s="261">
        <v>0</v>
      </c>
      <c r="Y344" s="261">
        <v>0</v>
      </c>
      <c r="Z344" s="261">
        <v>120000000</v>
      </c>
      <c r="AA344" s="261">
        <v>4800000</v>
      </c>
      <c r="AB344" s="261">
        <v>28536942.75</v>
      </c>
      <c r="AC344" s="261">
        <v>91463057.25</v>
      </c>
      <c r="AD344" s="261">
        <v>1500000</v>
      </c>
      <c r="AE344" s="261">
        <v>15236942.75</v>
      </c>
      <c r="AF344" s="261">
        <v>13300000</v>
      </c>
      <c r="AG344" s="261">
        <v>4800000</v>
      </c>
      <c r="AH344" s="261">
        <v>43536942.75</v>
      </c>
      <c r="AI344" s="261">
        <v>15000000</v>
      </c>
      <c r="AJ344" s="261">
        <v>76463057.25</v>
      </c>
      <c r="AK344" s="261">
        <v>0</v>
      </c>
      <c r="AL344" s="261">
        <v>0</v>
      </c>
      <c r="AM344" s="261">
        <v>0</v>
      </c>
      <c r="AN344" s="261">
        <v>0</v>
      </c>
      <c r="AO344" s="261">
        <v>0</v>
      </c>
      <c r="AP344" s="261">
        <v>80000000</v>
      </c>
      <c r="AQ344" s="261"/>
      <c r="AS344" s="261"/>
    </row>
    <row r="345" spans="1:45" s="1" customFormat="1" x14ac:dyDescent="0.25">
      <c r="A345" s="4">
        <v>302</v>
      </c>
      <c r="B345" s="5" t="s">
        <v>572</v>
      </c>
      <c r="C345" s="6">
        <f>+C346+C419+C426</f>
        <v>4800815368</v>
      </c>
      <c r="D345" s="6">
        <f t="shared" ref="D345:R345" si="174">+D346+D419+D426</f>
        <v>692192681</v>
      </c>
      <c r="E345" s="6">
        <f t="shared" si="174"/>
        <v>0</v>
      </c>
      <c r="F345" s="6">
        <f t="shared" si="174"/>
        <v>0</v>
      </c>
      <c r="G345" s="6">
        <f t="shared" si="174"/>
        <v>5493008049</v>
      </c>
      <c r="H345" s="6">
        <f t="shared" si="174"/>
        <v>610643262</v>
      </c>
      <c r="I345" s="6">
        <f t="shared" si="174"/>
        <v>1980744304</v>
      </c>
      <c r="J345" s="6">
        <f t="shared" si="163"/>
        <v>3512263745</v>
      </c>
      <c r="K345" s="6">
        <f t="shared" si="174"/>
        <v>256554884</v>
      </c>
      <c r="L345" s="6">
        <f t="shared" si="174"/>
        <v>1311275916</v>
      </c>
      <c r="M345" s="6">
        <f t="shared" si="174"/>
        <v>669468388</v>
      </c>
      <c r="N345" s="6">
        <f t="shared" si="174"/>
        <v>541767016</v>
      </c>
      <c r="O345" s="6">
        <f t="shared" si="174"/>
        <v>3858829235</v>
      </c>
      <c r="P345" s="6">
        <f t="shared" si="174"/>
        <v>1878084931</v>
      </c>
      <c r="Q345" s="6">
        <f t="shared" si="164"/>
        <v>1634178814</v>
      </c>
      <c r="R345" s="6">
        <f t="shared" si="174"/>
        <v>1311275916</v>
      </c>
      <c r="T345" s="185">
        <v>302</v>
      </c>
      <c r="U345" s="259" t="s">
        <v>572</v>
      </c>
      <c r="V345" s="261">
        <v>4790815368</v>
      </c>
      <c r="W345" s="261">
        <v>692192681</v>
      </c>
      <c r="X345" s="261">
        <v>0</v>
      </c>
      <c r="Y345" s="261">
        <v>0</v>
      </c>
      <c r="Z345" s="261">
        <v>5483008049</v>
      </c>
      <c r="AA345" s="261">
        <v>609893262</v>
      </c>
      <c r="AB345" s="261">
        <v>1971408004</v>
      </c>
      <c r="AC345" s="261">
        <v>3511600045</v>
      </c>
      <c r="AD345" s="261">
        <v>254968884</v>
      </c>
      <c r="AE345" s="261">
        <v>1306017916</v>
      </c>
      <c r="AF345" s="261">
        <v>797102988</v>
      </c>
      <c r="AG345" s="261">
        <v>541017016</v>
      </c>
      <c r="AH345" s="261">
        <v>3834792935</v>
      </c>
      <c r="AI345" s="261">
        <v>1863384931</v>
      </c>
      <c r="AJ345" s="261">
        <v>1648215114</v>
      </c>
      <c r="AK345" s="261">
        <v>1000000</v>
      </c>
      <c r="AL345" s="261">
        <v>1500000</v>
      </c>
      <c r="AM345" s="261">
        <v>41236942.75</v>
      </c>
      <c r="AN345" s="261">
        <v>40236942.75</v>
      </c>
      <c r="AO345" s="261">
        <v>15000000</v>
      </c>
      <c r="AP345" s="261">
        <v>79763057.25</v>
      </c>
      <c r="AQ345" s="6"/>
      <c r="AS345" s="6"/>
    </row>
    <row r="346" spans="1:45" x14ac:dyDescent="0.25">
      <c r="A346" s="4">
        <v>30201</v>
      </c>
      <c r="B346" s="5" t="s">
        <v>573</v>
      </c>
      <c r="C346" s="6">
        <f>+C347+C389+C399+C409</f>
        <v>4529124504</v>
      </c>
      <c r="D346" s="6">
        <f t="shared" ref="D346:R346" si="175">+D347+D389+D399+D409</f>
        <v>692192681</v>
      </c>
      <c r="E346" s="6">
        <f t="shared" si="175"/>
        <v>0</v>
      </c>
      <c r="F346" s="6">
        <f t="shared" si="175"/>
        <v>0</v>
      </c>
      <c r="G346" s="6">
        <f t="shared" si="175"/>
        <v>5221317185</v>
      </c>
      <c r="H346" s="6">
        <f t="shared" si="175"/>
        <v>609757542</v>
      </c>
      <c r="I346" s="6">
        <f t="shared" si="175"/>
        <v>1977019408</v>
      </c>
      <c r="J346" s="6">
        <f t="shared" si="163"/>
        <v>3244297777</v>
      </c>
      <c r="K346" s="6">
        <f t="shared" si="175"/>
        <v>256554884</v>
      </c>
      <c r="L346" s="6">
        <f t="shared" si="175"/>
        <v>1311004600</v>
      </c>
      <c r="M346" s="6">
        <f t="shared" si="175"/>
        <v>666014808</v>
      </c>
      <c r="N346" s="6">
        <f t="shared" si="175"/>
        <v>541673056</v>
      </c>
      <c r="O346" s="6">
        <f t="shared" si="175"/>
        <v>3685104339</v>
      </c>
      <c r="P346" s="6">
        <f t="shared" si="175"/>
        <v>1708084931</v>
      </c>
      <c r="Q346" s="6">
        <f t="shared" si="164"/>
        <v>1536212846</v>
      </c>
      <c r="R346" s="6">
        <f t="shared" si="175"/>
        <v>1311004600</v>
      </c>
      <c r="S346" s="1"/>
      <c r="T346" s="185">
        <v>30201</v>
      </c>
      <c r="U346" s="259" t="s">
        <v>573</v>
      </c>
      <c r="V346" s="261">
        <v>4519124504</v>
      </c>
      <c r="W346" s="261">
        <v>692192681</v>
      </c>
      <c r="X346" s="261">
        <v>0</v>
      </c>
      <c r="Y346" s="261">
        <v>0</v>
      </c>
      <c r="Z346" s="261">
        <v>5211317185</v>
      </c>
      <c r="AA346" s="261">
        <v>609007542</v>
      </c>
      <c r="AB346" s="261">
        <v>1967683108</v>
      </c>
      <c r="AC346" s="261">
        <v>3243634077</v>
      </c>
      <c r="AD346" s="261">
        <v>254968884</v>
      </c>
      <c r="AE346" s="261">
        <v>1305746600</v>
      </c>
      <c r="AF346" s="261">
        <v>793649408</v>
      </c>
      <c r="AG346" s="261">
        <v>540923056</v>
      </c>
      <c r="AH346" s="261">
        <v>3661068039</v>
      </c>
      <c r="AI346" s="261">
        <v>1693384931</v>
      </c>
      <c r="AJ346" s="261">
        <v>1550249146</v>
      </c>
      <c r="AK346" s="261">
        <v>130826685</v>
      </c>
      <c r="AL346" s="261">
        <v>319116761</v>
      </c>
      <c r="AM346" s="261">
        <v>3741319365</v>
      </c>
      <c r="AN346" s="261">
        <v>3610492680</v>
      </c>
      <c r="AO346" s="261">
        <v>1796075541</v>
      </c>
      <c r="AP346" s="261">
        <v>1933079246</v>
      </c>
      <c r="AQ346" s="6"/>
      <c r="AS346" s="6"/>
    </row>
    <row r="347" spans="1:45" x14ac:dyDescent="0.25">
      <c r="A347" s="7">
        <v>3020101</v>
      </c>
      <c r="B347" s="8" t="s">
        <v>574</v>
      </c>
      <c r="C347" s="9">
        <f>+C348</f>
        <v>3769124504</v>
      </c>
      <c r="D347" s="9">
        <f t="shared" ref="D347:R347" si="176">+D348</f>
        <v>542192681</v>
      </c>
      <c r="E347" s="9">
        <f t="shared" si="176"/>
        <v>0</v>
      </c>
      <c r="F347" s="9">
        <f t="shared" si="176"/>
        <v>0</v>
      </c>
      <c r="G347" s="9">
        <f t="shared" si="176"/>
        <v>4311317185</v>
      </c>
      <c r="H347" s="9">
        <f t="shared" si="176"/>
        <v>605757542</v>
      </c>
      <c r="I347" s="9">
        <f t="shared" si="176"/>
        <v>1715565798</v>
      </c>
      <c r="J347" s="9">
        <f t="shared" si="163"/>
        <v>2595751387</v>
      </c>
      <c r="K347" s="9">
        <f t="shared" si="176"/>
        <v>247104884</v>
      </c>
      <c r="L347" s="9">
        <f t="shared" si="176"/>
        <v>1098333589</v>
      </c>
      <c r="M347" s="9">
        <f t="shared" si="176"/>
        <v>617232209</v>
      </c>
      <c r="N347" s="9">
        <f t="shared" si="176"/>
        <v>293206676</v>
      </c>
      <c r="O347" s="9">
        <f t="shared" si="176"/>
        <v>3165077723</v>
      </c>
      <c r="P347" s="9">
        <f t="shared" si="176"/>
        <v>1449511925</v>
      </c>
      <c r="Q347" s="9">
        <f t="shared" si="164"/>
        <v>1146239462</v>
      </c>
      <c r="R347" s="9">
        <f t="shared" si="176"/>
        <v>1098333589</v>
      </c>
      <c r="S347" s="1"/>
      <c r="T347" s="185">
        <v>3020101</v>
      </c>
      <c r="U347" s="259" t="s">
        <v>574</v>
      </c>
      <c r="V347" s="261">
        <v>3769124504</v>
      </c>
      <c r="W347" s="261">
        <v>542192681</v>
      </c>
      <c r="X347" s="261">
        <v>0</v>
      </c>
      <c r="Y347" s="261">
        <v>0</v>
      </c>
      <c r="Z347" s="261">
        <v>4311317185</v>
      </c>
      <c r="AA347" s="261">
        <v>605007542</v>
      </c>
      <c r="AB347" s="261">
        <v>1706229498</v>
      </c>
      <c r="AC347" s="261">
        <v>2605087687</v>
      </c>
      <c r="AD347" s="261">
        <v>245518884</v>
      </c>
      <c r="AE347" s="261">
        <v>1093075589</v>
      </c>
      <c r="AF347" s="261">
        <v>743014609</v>
      </c>
      <c r="AG347" s="261">
        <v>292456676</v>
      </c>
      <c r="AH347" s="261">
        <v>3141041423</v>
      </c>
      <c r="AI347" s="261">
        <v>1434811925</v>
      </c>
      <c r="AJ347" s="261">
        <v>1170275762</v>
      </c>
      <c r="AK347" s="261">
        <v>130826685</v>
      </c>
      <c r="AL347" s="261">
        <v>319022801</v>
      </c>
      <c r="AM347" s="261">
        <v>3567594469</v>
      </c>
      <c r="AN347" s="261">
        <v>3436767784</v>
      </c>
      <c r="AO347" s="261">
        <v>1626075541</v>
      </c>
      <c r="AP347" s="261">
        <v>1835113278</v>
      </c>
      <c r="AQ347" s="9"/>
      <c r="AS347" s="9"/>
    </row>
    <row r="348" spans="1:45" x14ac:dyDescent="0.25">
      <c r="A348" s="7">
        <v>302010101</v>
      </c>
      <c r="B348" s="8" t="s">
        <v>575</v>
      </c>
      <c r="C348" s="9">
        <f>+C349+C353+C357+C361+C364+C366+C370+C373+C376+C379+C381+C385+C388</f>
        <v>3769124504</v>
      </c>
      <c r="D348" s="9">
        <f t="shared" ref="D348:R348" si="177">+D349+D353+D357+D361+D364+D366+D370+D373+D376+D379+D381+D385+D388</f>
        <v>542192681</v>
      </c>
      <c r="E348" s="9">
        <f t="shared" si="177"/>
        <v>0</v>
      </c>
      <c r="F348" s="9">
        <f t="shared" si="177"/>
        <v>0</v>
      </c>
      <c r="G348" s="9">
        <f t="shared" si="177"/>
        <v>4311317185</v>
      </c>
      <c r="H348" s="9">
        <f t="shared" si="177"/>
        <v>605757542</v>
      </c>
      <c r="I348" s="9">
        <f t="shared" si="177"/>
        <v>1715565798</v>
      </c>
      <c r="J348" s="9">
        <f t="shared" si="163"/>
        <v>2595751387</v>
      </c>
      <c r="K348" s="9">
        <f t="shared" si="177"/>
        <v>247104884</v>
      </c>
      <c r="L348" s="9">
        <f t="shared" si="177"/>
        <v>1098333589</v>
      </c>
      <c r="M348" s="9">
        <f t="shared" si="177"/>
        <v>617232209</v>
      </c>
      <c r="N348" s="9">
        <f t="shared" si="177"/>
        <v>293206676</v>
      </c>
      <c r="O348" s="9">
        <f t="shared" si="177"/>
        <v>3165077723</v>
      </c>
      <c r="P348" s="9">
        <f t="shared" si="177"/>
        <v>1449511925</v>
      </c>
      <c r="Q348" s="9">
        <f t="shared" si="164"/>
        <v>1146239462</v>
      </c>
      <c r="R348" s="9">
        <f t="shared" si="177"/>
        <v>1098333589</v>
      </c>
      <c r="S348" s="1"/>
      <c r="T348" s="185">
        <v>302010101</v>
      </c>
      <c r="U348" s="259" t="s">
        <v>575</v>
      </c>
      <c r="V348" s="261">
        <v>3769124504</v>
      </c>
      <c r="W348" s="261">
        <v>542192681</v>
      </c>
      <c r="X348" s="261">
        <v>0</v>
      </c>
      <c r="Y348" s="261">
        <v>0</v>
      </c>
      <c r="Z348" s="261">
        <v>4311317185</v>
      </c>
      <c r="AA348" s="261">
        <v>605007542</v>
      </c>
      <c r="AB348" s="261">
        <v>1706229498</v>
      </c>
      <c r="AC348" s="261">
        <v>2605087687</v>
      </c>
      <c r="AD348" s="261">
        <v>245518884</v>
      </c>
      <c r="AE348" s="261">
        <v>1093075589</v>
      </c>
      <c r="AF348" s="261">
        <v>743014609</v>
      </c>
      <c r="AG348" s="261">
        <v>292456676</v>
      </c>
      <c r="AH348" s="261">
        <v>3141041423</v>
      </c>
      <c r="AI348" s="261">
        <v>1434811925</v>
      </c>
      <c r="AJ348" s="261">
        <v>1170275762</v>
      </c>
      <c r="AK348" s="261">
        <v>42422945</v>
      </c>
      <c r="AL348" s="261">
        <v>74598181</v>
      </c>
      <c r="AM348" s="261">
        <v>2963205873</v>
      </c>
      <c r="AN348" s="261">
        <v>2920782928</v>
      </c>
      <c r="AO348" s="261">
        <v>1369155105</v>
      </c>
      <c r="AP348" s="261">
        <v>1451098134</v>
      </c>
      <c r="AQ348" s="9"/>
      <c r="AS348" s="9"/>
    </row>
    <row r="349" spans="1:45" s="1" customFormat="1" x14ac:dyDescent="0.25">
      <c r="A349" s="7">
        <v>30201010101</v>
      </c>
      <c r="B349" s="8" t="s">
        <v>576</v>
      </c>
      <c r="C349" s="9">
        <f>+C350+C351+C352</f>
        <v>170000000</v>
      </c>
      <c r="D349" s="9">
        <f t="shared" ref="D349:R349" si="178">+D350+D351+D352</f>
        <v>0</v>
      </c>
      <c r="E349" s="9">
        <f t="shared" si="178"/>
        <v>0</v>
      </c>
      <c r="F349" s="9">
        <f t="shared" si="178"/>
        <v>0</v>
      </c>
      <c r="G349" s="9">
        <f t="shared" si="178"/>
        <v>170000000</v>
      </c>
      <c r="H349" s="9">
        <f t="shared" si="178"/>
        <v>13880160</v>
      </c>
      <c r="I349" s="9">
        <f t="shared" si="178"/>
        <v>71854915</v>
      </c>
      <c r="J349" s="9">
        <f t="shared" si="163"/>
        <v>98145085</v>
      </c>
      <c r="K349" s="9">
        <f t="shared" si="178"/>
        <v>5426208</v>
      </c>
      <c r="L349" s="9">
        <f t="shared" si="178"/>
        <v>25742963</v>
      </c>
      <c r="M349" s="9">
        <f t="shared" si="178"/>
        <v>46111952</v>
      </c>
      <c r="N349" s="9">
        <f t="shared" si="178"/>
        <v>0</v>
      </c>
      <c r="O349" s="9">
        <f t="shared" si="178"/>
        <v>129837755</v>
      </c>
      <c r="P349" s="9">
        <f t="shared" si="178"/>
        <v>57982840</v>
      </c>
      <c r="Q349" s="9">
        <f t="shared" si="164"/>
        <v>40162245</v>
      </c>
      <c r="R349" s="9">
        <f t="shared" si="178"/>
        <v>25742963</v>
      </c>
      <c r="T349" s="185">
        <v>30201010101</v>
      </c>
      <c r="U349" s="259" t="s">
        <v>576</v>
      </c>
      <c r="V349" s="261">
        <v>170000000</v>
      </c>
      <c r="W349" s="261">
        <v>0</v>
      </c>
      <c r="X349" s="261">
        <v>0</v>
      </c>
      <c r="Y349" s="261">
        <v>0</v>
      </c>
      <c r="Z349" s="261">
        <v>170000000</v>
      </c>
      <c r="AA349" s="261">
        <v>13880160</v>
      </c>
      <c r="AB349" s="261">
        <v>71854915</v>
      </c>
      <c r="AC349" s="261">
        <v>98145085</v>
      </c>
      <c r="AD349" s="261">
        <v>5426208</v>
      </c>
      <c r="AE349" s="261">
        <v>25742963</v>
      </c>
      <c r="AF349" s="261">
        <v>46156952</v>
      </c>
      <c r="AG349" s="261">
        <v>0</v>
      </c>
      <c r="AH349" s="261">
        <v>129837755</v>
      </c>
      <c r="AI349" s="261">
        <v>57982840</v>
      </c>
      <c r="AJ349" s="261">
        <v>40162245</v>
      </c>
      <c r="AK349" s="261">
        <v>42422945</v>
      </c>
      <c r="AL349" s="261">
        <v>74598181</v>
      </c>
      <c r="AM349" s="261">
        <v>2963205873</v>
      </c>
      <c r="AN349" s="261">
        <v>2920782928</v>
      </c>
      <c r="AO349" s="261">
        <v>1369155105</v>
      </c>
      <c r="AP349" s="261">
        <v>1451098134</v>
      </c>
      <c r="AQ349" s="9"/>
      <c r="AS349" s="9"/>
    </row>
    <row r="350" spans="1:45" x14ac:dyDescent="0.25">
      <c r="A350" s="205">
        <v>3020101010101</v>
      </c>
      <c r="B350" s="259" t="s">
        <v>577</v>
      </c>
      <c r="C350" s="261">
        <v>40000000</v>
      </c>
      <c r="D350" s="261">
        <v>0</v>
      </c>
      <c r="E350" s="261">
        <v>0</v>
      </c>
      <c r="F350" s="261">
        <v>0</v>
      </c>
      <c r="G350" s="261">
        <f>+C350+D350-E350+F350</f>
        <v>40000000</v>
      </c>
      <c r="H350" s="261">
        <v>0</v>
      </c>
      <c r="I350" s="261">
        <v>0</v>
      </c>
      <c r="J350" s="261">
        <f t="shared" si="163"/>
        <v>40000000</v>
      </c>
      <c r="K350" s="261">
        <v>0</v>
      </c>
      <c r="L350" s="261">
        <v>0</v>
      </c>
      <c r="M350" s="261">
        <f t="shared" si="169"/>
        <v>0</v>
      </c>
      <c r="N350" s="261">
        <v>0</v>
      </c>
      <c r="O350" s="261">
        <v>0</v>
      </c>
      <c r="P350" s="261">
        <f t="shared" si="167"/>
        <v>0</v>
      </c>
      <c r="Q350" s="177">
        <f t="shared" si="164"/>
        <v>40000000</v>
      </c>
      <c r="R350" s="261">
        <f t="shared" si="168"/>
        <v>0</v>
      </c>
      <c r="T350" s="185">
        <v>3020101010101</v>
      </c>
      <c r="U350" s="259" t="s">
        <v>577</v>
      </c>
      <c r="V350" s="261">
        <v>40000000</v>
      </c>
      <c r="W350" s="261">
        <v>0</v>
      </c>
      <c r="X350" s="261">
        <v>0</v>
      </c>
      <c r="Y350" s="261">
        <v>0</v>
      </c>
      <c r="Z350" s="261">
        <v>40000000</v>
      </c>
      <c r="AA350" s="261">
        <v>0</v>
      </c>
      <c r="AB350" s="261">
        <v>0</v>
      </c>
      <c r="AC350" s="261">
        <v>40000000</v>
      </c>
      <c r="AD350" s="261">
        <v>0</v>
      </c>
      <c r="AE350" s="261">
        <v>0</v>
      </c>
      <c r="AF350" s="261">
        <v>0</v>
      </c>
      <c r="AG350" s="261">
        <v>0</v>
      </c>
      <c r="AH350" s="261">
        <v>0</v>
      </c>
      <c r="AI350" s="261">
        <v>0</v>
      </c>
      <c r="AJ350" s="261">
        <v>40000000</v>
      </c>
      <c r="AK350" s="261">
        <v>5207245</v>
      </c>
      <c r="AL350" s="261">
        <v>0</v>
      </c>
      <c r="AM350" s="261">
        <v>135045000</v>
      </c>
      <c r="AN350" s="261">
        <v>129837755</v>
      </c>
      <c r="AO350" s="261">
        <v>57982840</v>
      </c>
      <c r="AP350" s="261">
        <v>40162245</v>
      </c>
      <c r="AQ350" s="261"/>
      <c r="AS350" s="261"/>
    </row>
    <row r="351" spans="1:45" x14ac:dyDescent="0.25">
      <c r="A351" s="206">
        <v>3020101010102</v>
      </c>
      <c r="B351" s="259" t="s">
        <v>578</v>
      </c>
      <c r="C351" s="261">
        <v>60000000</v>
      </c>
      <c r="D351" s="261">
        <v>0</v>
      </c>
      <c r="E351" s="261">
        <v>0</v>
      </c>
      <c r="F351" s="261">
        <v>0</v>
      </c>
      <c r="G351" s="261">
        <f>+C351+D351-E351+F351</f>
        <v>60000000</v>
      </c>
      <c r="H351" s="261">
        <v>2017160</v>
      </c>
      <c r="I351" s="261">
        <v>2017160</v>
      </c>
      <c r="J351" s="261">
        <f t="shared" si="163"/>
        <v>57982840</v>
      </c>
      <c r="K351" s="261">
        <v>0</v>
      </c>
      <c r="L351" s="261">
        <v>0</v>
      </c>
      <c r="M351" s="261">
        <f t="shared" si="169"/>
        <v>2017160</v>
      </c>
      <c r="N351" s="261">
        <v>0</v>
      </c>
      <c r="O351" s="261">
        <v>60000000</v>
      </c>
      <c r="P351" s="261">
        <f t="shared" si="167"/>
        <v>57982840</v>
      </c>
      <c r="Q351" s="177">
        <f t="shared" si="164"/>
        <v>0</v>
      </c>
      <c r="R351" s="261">
        <f t="shared" si="168"/>
        <v>0</v>
      </c>
      <c r="T351" s="185">
        <v>3020101010102</v>
      </c>
      <c r="U351" s="259" t="s">
        <v>578</v>
      </c>
      <c r="V351" s="261">
        <v>60000000</v>
      </c>
      <c r="W351" s="261">
        <v>0</v>
      </c>
      <c r="X351" s="261">
        <v>0</v>
      </c>
      <c r="Y351" s="261">
        <v>0</v>
      </c>
      <c r="Z351" s="261">
        <v>60000000</v>
      </c>
      <c r="AA351" s="261">
        <v>2017160</v>
      </c>
      <c r="AB351" s="261">
        <v>2017160</v>
      </c>
      <c r="AC351" s="261">
        <v>57982840</v>
      </c>
      <c r="AD351" s="261">
        <v>0</v>
      </c>
      <c r="AE351" s="261">
        <v>0</v>
      </c>
      <c r="AF351" s="261">
        <v>2017160</v>
      </c>
      <c r="AG351" s="261">
        <v>0</v>
      </c>
      <c r="AH351" s="261">
        <v>60000000</v>
      </c>
      <c r="AI351" s="261">
        <v>57982840</v>
      </c>
      <c r="AJ351" s="261">
        <v>0</v>
      </c>
      <c r="AK351" s="261">
        <v>0</v>
      </c>
      <c r="AL351" s="261">
        <v>0</v>
      </c>
      <c r="AM351" s="261">
        <v>0</v>
      </c>
      <c r="AN351" s="261">
        <v>0</v>
      </c>
      <c r="AO351" s="261">
        <v>0</v>
      </c>
      <c r="AP351" s="261">
        <v>40000000</v>
      </c>
      <c r="AQ351" s="261"/>
      <c r="AS351" s="261"/>
    </row>
    <row r="352" spans="1:45" x14ac:dyDescent="0.25">
      <c r="A352" s="204">
        <v>3020101010103</v>
      </c>
      <c r="B352" s="259" t="s">
        <v>579</v>
      </c>
      <c r="C352" s="261">
        <v>70000000</v>
      </c>
      <c r="D352" s="261">
        <v>0</v>
      </c>
      <c r="E352" s="261">
        <v>0</v>
      </c>
      <c r="F352" s="261">
        <v>0</v>
      </c>
      <c r="G352" s="261">
        <f>+C352+D352-E352+F352</f>
        <v>70000000</v>
      </c>
      <c r="H352" s="261">
        <v>11863000</v>
      </c>
      <c r="I352" s="261">
        <v>69837755</v>
      </c>
      <c r="J352" s="261">
        <f t="shared" si="163"/>
        <v>162245</v>
      </c>
      <c r="K352" s="261">
        <v>5426208</v>
      </c>
      <c r="L352" s="261">
        <v>25742963</v>
      </c>
      <c r="M352" s="261">
        <f t="shared" si="169"/>
        <v>44094792</v>
      </c>
      <c r="N352" s="261">
        <v>0</v>
      </c>
      <c r="O352" s="261">
        <v>69837755</v>
      </c>
      <c r="P352" s="261">
        <f t="shared" si="167"/>
        <v>0</v>
      </c>
      <c r="Q352" s="177">
        <f t="shared" si="164"/>
        <v>162245</v>
      </c>
      <c r="R352" s="261">
        <f t="shared" si="168"/>
        <v>25742963</v>
      </c>
      <c r="T352" s="185">
        <v>3020101010103</v>
      </c>
      <c r="U352" s="259" t="s">
        <v>579</v>
      </c>
      <c r="V352" s="261">
        <v>70000000</v>
      </c>
      <c r="W352" s="261">
        <v>0</v>
      </c>
      <c r="X352" s="261">
        <v>0</v>
      </c>
      <c r="Y352" s="261">
        <v>0</v>
      </c>
      <c r="Z352" s="261">
        <v>70000000</v>
      </c>
      <c r="AA352" s="261">
        <v>11863000</v>
      </c>
      <c r="AB352" s="261">
        <v>69837755</v>
      </c>
      <c r="AC352" s="261">
        <v>162245</v>
      </c>
      <c r="AD352" s="261">
        <v>5426208</v>
      </c>
      <c r="AE352" s="261">
        <v>25742963</v>
      </c>
      <c r="AF352" s="261">
        <v>44139792</v>
      </c>
      <c r="AG352" s="261">
        <v>0</v>
      </c>
      <c r="AH352" s="261">
        <v>69837755</v>
      </c>
      <c r="AI352" s="261">
        <v>0</v>
      </c>
      <c r="AJ352" s="261">
        <v>162245</v>
      </c>
      <c r="AK352" s="261">
        <v>0</v>
      </c>
      <c r="AL352" s="261">
        <v>0</v>
      </c>
      <c r="AM352" s="261">
        <v>60000000</v>
      </c>
      <c r="AN352" s="261">
        <v>60000000</v>
      </c>
      <c r="AO352" s="261">
        <v>57982840</v>
      </c>
      <c r="AP352" s="261">
        <v>0</v>
      </c>
      <c r="AQ352" s="261"/>
      <c r="AS352" s="261"/>
    </row>
    <row r="353" spans="1:45" s="1" customFormat="1" x14ac:dyDescent="0.25">
      <c r="A353" s="7">
        <v>30201010102</v>
      </c>
      <c r="B353" s="8" t="s">
        <v>580</v>
      </c>
      <c r="C353" s="9">
        <f>+C354+C355+C356</f>
        <v>415000000</v>
      </c>
      <c r="D353" s="9">
        <f t="shared" ref="D353:R353" si="179">+D354+D355+D356</f>
        <v>0</v>
      </c>
      <c r="E353" s="9">
        <f t="shared" si="179"/>
        <v>0</v>
      </c>
      <c r="F353" s="9">
        <f t="shared" si="179"/>
        <v>0</v>
      </c>
      <c r="G353" s="9">
        <f t="shared" si="179"/>
        <v>415000000</v>
      </c>
      <c r="H353" s="9">
        <f t="shared" si="179"/>
        <v>346708004</v>
      </c>
      <c r="I353" s="9">
        <f t="shared" si="179"/>
        <v>348988004</v>
      </c>
      <c r="J353" s="9">
        <f t="shared" si="163"/>
        <v>66011996</v>
      </c>
      <c r="K353" s="9">
        <f t="shared" si="179"/>
        <v>0</v>
      </c>
      <c r="L353" s="9">
        <f t="shared" si="179"/>
        <v>0</v>
      </c>
      <c r="M353" s="9">
        <f t="shared" si="179"/>
        <v>348988004</v>
      </c>
      <c r="N353" s="9">
        <f t="shared" si="179"/>
        <v>0</v>
      </c>
      <c r="O353" s="9">
        <f t="shared" si="179"/>
        <v>362280000</v>
      </c>
      <c r="P353" s="9">
        <f t="shared" si="179"/>
        <v>13291996</v>
      </c>
      <c r="Q353" s="9">
        <f t="shared" si="164"/>
        <v>52720000</v>
      </c>
      <c r="R353" s="9">
        <f t="shared" si="179"/>
        <v>0</v>
      </c>
      <c r="T353" s="185">
        <v>30201010102</v>
      </c>
      <c r="U353" s="259" t="s">
        <v>580</v>
      </c>
      <c r="V353" s="261">
        <v>415000000</v>
      </c>
      <c r="W353" s="261">
        <v>0</v>
      </c>
      <c r="X353" s="261">
        <v>0</v>
      </c>
      <c r="Y353" s="261">
        <v>0</v>
      </c>
      <c r="Z353" s="261">
        <v>415000000</v>
      </c>
      <c r="AA353" s="261">
        <v>346708004</v>
      </c>
      <c r="AB353" s="261">
        <v>348988004</v>
      </c>
      <c r="AC353" s="261">
        <v>66011996</v>
      </c>
      <c r="AD353" s="261">
        <v>0</v>
      </c>
      <c r="AE353" s="261">
        <v>0</v>
      </c>
      <c r="AF353" s="261">
        <v>348988004</v>
      </c>
      <c r="AG353" s="261">
        <v>0</v>
      </c>
      <c r="AH353" s="261">
        <v>362280000</v>
      </c>
      <c r="AI353" s="261">
        <v>13291996</v>
      </c>
      <c r="AJ353" s="261">
        <v>52720000</v>
      </c>
      <c r="AK353" s="261">
        <v>5207245</v>
      </c>
      <c r="AL353" s="261">
        <v>0</v>
      </c>
      <c r="AM353" s="261">
        <v>75045000</v>
      </c>
      <c r="AN353" s="261">
        <v>69837755</v>
      </c>
      <c r="AO353" s="261">
        <v>0</v>
      </c>
      <c r="AP353" s="261">
        <v>162245</v>
      </c>
      <c r="AQ353" s="9"/>
      <c r="AS353" s="9"/>
    </row>
    <row r="354" spans="1:45" x14ac:dyDescent="0.25">
      <c r="A354" s="205">
        <v>3020101010201</v>
      </c>
      <c r="B354" s="259" t="s">
        <v>581</v>
      </c>
      <c r="C354" s="261">
        <v>15000000</v>
      </c>
      <c r="D354" s="261">
        <v>0</v>
      </c>
      <c r="E354" s="261">
        <v>0</v>
      </c>
      <c r="F354" s="261">
        <v>0</v>
      </c>
      <c r="G354" s="261">
        <f>+C354+D354-E354+F354</f>
        <v>15000000</v>
      </c>
      <c r="H354" s="261">
        <v>0</v>
      </c>
      <c r="I354" s="261">
        <v>0</v>
      </c>
      <c r="J354" s="261">
        <f t="shared" si="163"/>
        <v>15000000</v>
      </c>
      <c r="K354" s="261">
        <v>0</v>
      </c>
      <c r="L354" s="261">
        <v>0</v>
      </c>
      <c r="M354" s="261">
        <f t="shared" si="169"/>
        <v>0</v>
      </c>
      <c r="N354" s="261">
        <v>0</v>
      </c>
      <c r="O354" s="261">
        <v>0</v>
      </c>
      <c r="P354" s="261">
        <f t="shared" si="167"/>
        <v>0</v>
      </c>
      <c r="Q354" s="177">
        <f t="shared" si="164"/>
        <v>15000000</v>
      </c>
      <c r="R354" s="261">
        <f t="shared" si="168"/>
        <v>0</v>
      </c>
      <c r="T354" s="185">
        <v>3020101010201</v>
      </c>
      <c r="U354" s="259" t="s">
        <v>581</v>
      </c>
      <c r="V354" s="261">
        <v>15000000</v>
      </c>
      <c r="W354" s="261">
        <v>0</v>
      </c>
      <c r="X354" s="261">
        <v>0</v>
      </c>
      <c r="Y354" s="261">
        <v>0</v>
      </c>
      <c r="Z354" s="261">
        <v>15000000</v>
      </c>
      <c r="AA354" s="261">
        <v>0</v>
      </c>
      <c r="AB354" s="261">
        <v>0</v>
      </c>
      <c r="AC354" s="261">
        <v>15000000</v>
      </c>
      <c r="AD354" s="261">
        <v>0</v>
      </c>
      <c r="AE354" s="261">
        <v>0</v>
      </c>
      <c r="AF354" s="261">
        <v>0</v>
      </c>
      <c r="AG354" s="261">
        <v>0</v>
      </c>
      <c r="AH354" s="261">
        <v>0</v>
      </c>
      <c r="AI354" s="261">
        <v>0</v>
      </c>
      <c r="AJ354" s="261">
        <v>15000000</v>
      </c>
      <c r="AK354" s="261">
        <v>0</v>
      </c>
      <c r="AL354" s="261">
        <v>0</v>
      </c>
      <c r="AM354" s="261">
        <v>362280000</v>
      </c>
      <c r="AN354" s="261">
        <v>362280000</v>
      </c>
      <c r="AO354" s="261">
        <v>13291996</v>
      </c>
      <c r="AP354" s="261">
        <v>52720000</v>
      </c>
      <c r="AQ354" s="261"/>
      <c r="AS354" s="261"/>
    </row>
    <row r="355" spans="1:45" x14ac:dyDescent="0.25">
      <c r="A355" s="206">
        <v>3020101010202</v>
      </c>
      <c r="B355" s="259" t="s">
        <v>582</v>
      </c>
      <c r="C355" s="261">
        <v>150000000</v>
      </c>
      <c r="D355" s="261">
        <v>0</v>
      </c>
      <c r="E355" s="261">
        <v>0</v>
      </c>
      <c r="F355" s="261">
        <v>0</v>
      </c>
      <c r="G355" s="261">
        <f>+C355+D355-E355+F355</f>
        <v>150000000</v>
      </c>
      <c r="H355" s="261">
        <v>96708004</v>
      </c>
      <c r="I355" s="261">
        <v>98988004</v>
      </c>
      <c r="J355" s="261">
        <f t="shared" si="163"/>
        <v>51011996</v>
      </c>
      <c r="K355" s="261">
        <v>0</v>
      </c>
      <c r="L355" s="261">
        <v>0</v>
      </c>
      <c r="M355" s="261">
        <f t="shared" si="169"/>
        <v>98988004</v>
      </c>
      <c r="N355" s="261">
        <v>0</v>
      </c>
      <c r="O355" s="261">
        <v>112280000</v>
      </c>
      <c r="P355" s="261">
        <f t="shared" si="167"/>
        <v>13291996</v>
      </c>
      <c r="Q355" s="177">
        <f t="shared" si="164"/>
        <v>37720000</v>
      </c>
      <c r="R355" s="261">
        <f t="shared" si="168"/>
        <v>0</v>
      </c>
      <c r="T355" s="185">
        <v>3020101010202</v>
      </c>
      <c r="U355" s="259" t="s">
        <v>582</v>
      </c>
      <c r="V355" s="261">
        <v>150000000</v>
      </c>
      <c r="W355" s="261">
        <v>0</v>
      </c>
      <c r="X355" s="261">
        <v>0</v>
      </c>
      <c r="Y355" s="261">
        <v>0</v>
      </c>
      <c r="Z355" s="261">
        <v>150000000</v>
      </c>
      <c r="AA355" s="261">
        <v>96708004</v>
      </c>
      <c r="AB355" s="261">
        <v>98988004</v>
      </c>
      <c r="AC355" s="261">
        <v>51011996</v>
      </c>
      <c r="AD355" s="261">
        <v>0</v>
      </c>
      <c r="AE355" s="261">
        <v>0</v>
      </c>
      <c r="AF355" s="261">
        <v>98988004</v>
      </c>
      <c r="AG355" s="261">
        <v>0</v>
      </c>
      <c r="AH355" s="261">
        <v>112280000</v>
      </c>
      <c r="AI355" s="261">
        <v>13291996</v>
      </c>
      <c r="AJ355" s="261">
        <v>37720000</v>
      </c>
      <c r="AK355" s="261">
        <v>0</v>
      </c>
      <c r="AL355" s="261">
        <v>0</v>
      </c>
      <c r="AM355" s="261">
        <v>0</v>
      </c>
      <c r="AN355" s="261">
        <v>0</v>
      </c>
      <c r="AO355" s="261">
        <v>0</v>
      </c>
      <c r="AP355" s="261">
        <v>15000000</v>
      </c>
      <c r="AQ355" s="261"/>
      <c r="AS355" s="261"/>
    </row>
    <row r="356" spans="1:45" x14ac:dyDescent="0.25">
      <c r="A356" s="204">
        <v>3020101010203</v>
      </c>
      <c r="B356" s="259" t="s">
        <v>583</v>
      </c>
      <c r="C356" s="261">
        <v>250000000</v>
      </c>
      <c r="D356" s="261">
        <v>0</v>
      </c>
      <c r="E356" s="261">
        <v>0</v>
      </c>
      <c r="F356" s="261">
        <v>0</v>
      </c>
      <c r="G356" s="261">
        <f>+C356+D356-E356+F356</f>
        <v>250000000</v>
      </c>
      <c r="H356" s="261">
        <v>250000000</v>
      </c>
      <c r="I356" s="261">
        <v>250000000</v>
      </c>
      <c r="J356" s="261">
        <f t="shared" si="163"/>
        <v>0</v>
      </c>
      <c r="K356" s="261">
        <v>0</v>
      </c>
      <c r="L356" s="261">
        <v>0</v>
      </c>
      <c r="M356" s="261">
        <f t="shared" si="169"/>
        <v>250000000</v>
      </c>
      <c r="N356" s="261">
        <v>0</v>
      </c>
      <c r="O356" s="261">
        <v>250000000</v>
      </c>
      <c r="P356" s="261">
        <f t="shared" si="167"/>
        <v>0</v>
      </c>
      <c r="Q356" s="177">
        <f t="shared" si="164"/>
        <v>0</v>
      </c>
      <c r="R356" s="261">
        <f t="shared" si="168"/>
        <v>0</v>
      </c>
      <c r="T356" s="185">
        <v>3020101010203</v>
      </c>
      <c r="U356" s="259" t="s">
        <v>583</v>
      </c>
      <c r="V356" s="261">
        <v>250000000</v>
      </c>
      <c r="W356" s="261">
        <v>0</v>
      </c>
      <c r="X356" s="261">
        <v>0</v>
      </c>
      <c r="Y356" s="261">
        <v>0</v>
      </c>
      <c r="Z356" s="261">
        <v>250000000</v>
      </c>
      <c r="AA356" s="261">
        <v>250000000</v>
      </c>
      <c r="AB356" s="261">
        <v>250000000</v>
      </c>
      <c r="AC356" s="261">
        <v>0</v>
      </c>
      <c r="AD356" s="261">
        <v>0</v>
      </c>
      <c r="AE356" s="261">
        <v>0</v>
      </c>
      <c r="AF356" s="261">
        <v>250000000</v>
      </c>
      <c r="AG356" s="261">
        <v>0</v>
      </c>
      <c r="AH356" s="261">
        <v>250000000</v>
      </c>
      <c r="AI356" s="261">
        <v>0</v>
      </c>
      <c r="AJ356" s="261">
        <v>0</v>
      </c>
      <c r="AK356" s="261">
        <v>0</v>
      </c>
      <c r="AL356" s="261">
        <v>0</v>
      </c>
      <c r="AM356" s="261">
        <v>112280000</v>
      </c>
      <c r="AN356" s="261">
        <v>112280000</v>
      </c>
      <c r="AO356" s="261">
        <v>13291996</v>
      </c>
      <c r="AP356" s="261">
        <v>37720000</v>
      </c>
      <c r="AQ356" s="261"/>
      <c r="AS356" s="261"/>
    </row>
    <row r="357" spans="1:45" s="1" customFormat="1" x14ac:dyDescent="0.25">
      <c r="A357" s="7">
        <v>30201010103</v>
      </c>
      <c r="B357" s="8" t="s">
        <v>584</v>
      </c>
      <c r="C357" s="9">
        <f>+C358+C359+C360</f>
        <v>1444124504</v>
      </c>
      <c r="D357" s="9">
        <f t="shared" ref="D357:R357" si="180">+D358+D359+D360</f>
        <v>542192681</v>
      </c>
      <c r="E357" s="9">
        <f t="shared" si="180"/>
        <v>0</v>
      </c>
      <c r="F357" s="9">
        <f t="shared" si="180"/>
        <v>0</v>
      </c>
      <c r="G357" s="9">
        <f t="shared" si="180"/>
        <v>1986317185</v>
      </c>
      <c r="H357" s="9">
        <f t="shared" si="180"/>
        <v>103492652</v>
      </c>
      <c r="I357" s="9">
        <f t="shared" si="180"/>
        <v>464681802</v>
      </c>
      <c r="J357" s="9">
        <f t="shared" si="163"/>
        <v>1521635383</v>
      </c>
      <c r="K357" s="9">
        <f t="shared" si="180"/>
        <v>4740000</v>
      </c>
      <c r="L357" s="9">
        <f t="shared" si="180"/>
        <v>233537859</v>
      </c>
      <c r="M357" s="9">
        <f t="shared" si="180"/>
        <v>231143943</v>
      </c>
      <c r="N357" s="9">
        <f t="shared" si="180"/>
        <v>0</v>
      </c>
      <c r="O357" s="9">
        <f t="shared" si="180"/>
        <v>1377192681</v>
      </c>
      <c r="P357" s="9">
        <f t="shared" si="180"/>
        <v>912510879</v>
      </c>
      <c r="Q357" s="9">
        <f t="shared" si="164"/>
        <v>609124504</v>
      </c>
      <c r="R357" s="9">
        <f t="shared" si="180"/>
        <v>233537859</v>
      </c>
      <c r="T357" s="185">
        <v>30201010103</v>
      </c>
      <c r="U357" s="259" t="s">
        <v>584</v>
      </c>
      <c r="V357" s="261">
        <v>1444124504</v>
      </c>
      <c r="W357" s="261">
        <v>542192681</v>
      </c>
      <c r="X357" s="261">
        <v>0</v>
      </c>
      <c r="Y357" s="261">
        <v>0</v>
      </c>
      <c r="Z357" s="261">
        <v>1986317185</v>
      </c>
      <c r="AA357" s="261">
        <v>103492652</v>
      </c>
      <c r="AB357" s="261">
        <v>464681802</v>
      </c>
      <c r="AC357" s="261">
        <v>1521635383</v>
      </c>
      <c r="AD357" s="261">
        <v>4740000</v>
      </c>
      <c r="AE357" s="261">
        <v>233537859</v>
      </c>
      <c r="AF357" s="261">
        <v>326143943</v>
      </c>
      <c r="AG357" s="261">
        <v>0</v>
      </c>
      <c r="AH357" s="261">
        <v>1377192681</v>
      </c>
      <c r="AI357" s="261">
        <v>912510879</v>
      </c>
      <c r="AJ357" s="261">
        <v>609124504</v>
      </c>
      <c r="AK357" s="261">
        <v>0</v>
      </c>
      <c r="AL357" s="261">
        <v>0</v>
      </c>
      <c r="AM357" s="261">
        <v>250000000</v>
      </c>
      <c r="AN357" s="261">
        <v>250000000</v>
      </c>
      <c r="AO357" s="261">
        <v>0</v>
      </c>
      <c r="AP357" s="261">
        <v>0</v>
      </c>
      <c r="AQ357" s="9"/>
      <c r="AS357" s="9"/>
    </row>
    <row r="358" spans="1:45" x14ac:dyDescent="0.25">
      <c r="A358" s="205">
        <v>3020101010301</v>
      </c>
      <c r="B358" s="259" t="s">
        <v>585</v>
      </c>
      <c r="C358" s="261">
        <v>609124504</v>
      </c>
      <c r="D358" s="261">
        <v>0</v>
      </c>
      <c r="E358" s="261">
        <v>0</v>
      </c>
      <c r="F358" s="261">
        <v>0</v>
      </c>
      <c r="G358" s="261">
        <f>+C358+D358-E358+F358</f>
        <v>609124504</v>
      </c>
      <c r="H358" s="261">
        <v>0</v>
      </c>
      <c r="I358" s="261">
        <v>0</v>
      </c>
      <c r="J358" s="261">
        <f t="shared" si="163"/>
        <v>609124504</v>
      </c>
      <c r="K358" s="261">
        <v>0</v>
      </c>
      <c r="L358" s="261">
        <v>0</v>
      </c>
      <c r="M358" s="261">
        <f t="shared" si="169"/>
        <v>0</v>
      </c>
      <c r="N358" s="261">
        <v>0</v>
      </c>
      <c r="O358" s="261">
        <v>0</v>
      </c>
      <c r="P358" s="261">
        <f t="shared" si="167"/>
        <v>0</v>
      </c>
      <c r="Q358" s="177">
        <f t="shared" si="164"/>
        <v>609124504</v>
      </c>
      <c r="R358" s="261">
        <f t="shared" si="168"/>
        <v>0</v>
      </c>
      <c r="T358" s="185">
        <v>3020101010301</v>
      </c>
      <c r="U358" s="259" t="s">
        <v>585</v>
      </c>
      <c r="V358" s="261">
        <v>609124504</v>
      </c>
      <c r="W358" s="261">
        <v>0</v>
      </c>
      <c r="X358" s="261">
        <v>0</v>
      </c>
      <c r="Y358" s="261">
        <v>0</v>
      </c>
      <c r="Z358" s="261">
        <v>609124504</v>
      </c>
      <c r="AA358" s="261">
        <v>0</v>
      </c>
      <c r="AB358" s="261">
        <v>0</v>
      </c>
      <c r="AC358" s="261">
        <v>609124504</v>
      </c>
      <c r="AD358" s="261">
        <v>0</v>
      </c>
      <c r="AE358" s="261">
        <v>0</v>
      </c>
      <c r="AF358" s="261">
        <v>0</v>
      </c>
      <c r="AG358" s="261">
        <v>0</v>
      </c>
      <c r="AH358" s="261">
        <v>0</v>
      </c>
      <c r="AI358" s="261">
        <v>0</v>
      </c>
      <c r="AJ358" s="261">
        <v>609124504</v>
      </c>
      <c r="AK358" s="261">
        <v>0</v>
      </c>
      <c r="AL358" s="261">
        <v>0</v>
      </c>
      <c r="AM358" s="261">
        <v>1377192681</v>
      </c>
      <c r="AN358" s="261">
        <v>1377192681</v>
      </c>
      <c r="AO358" s="261">
        <v>978896699</v>
      </c>
      <c r="AP358" s="261">
        <v>609124504</v>
      </c>
      <c r="AQ358" s="261"/>
      <c r="AS358" s="261"/>
    </row>
    <row r="359" spans="1:45" x14ac:dyDescent="0.25">
      <c r="A359" s="206">
        <v>3020101010302</v>
      </c>
      <c r="B359" s="259" t="s">
        <v>586</v>
      </c>
      <c r="C359" s="261">
        <v>150000000</v>
      </c>
      <c r="D359" s="261">
        <v>0</v>
      </c>
      <c r="E359" s="261">
        <v>0</v>
      </c>
      <c r="F359" s="261">
        <v>0</v>
      </c>
      <c r="G359" s="261">
        <f>+C359+D359-E359+F359</f>
        <v>150000000</v>
      </c>
      <c r="H359" s="261">
        <v>7106832</v>
      </c>
      <c r="I359" s="261">
        <v>7106832</v>
      </c>
      <c r="J359" s="261">
        <f t="shared" si="163"/>
        <v>142893168</v>
      </c>
      <c r="K359" s="261">
        <v>0</v>
      </c>
      <c r="L359" s="261">
        <v>0</v>
      </c>
      <c r="M359" s="261">
        <f t="shared" si="169"/>
        <v>7106832</v>
      </c>
      <c r="N359" s="261">
        <v>0</v>
      </c>
      <c r="O359" s="261">
        <v>150000000</v>
      </c>
      <c r="P359" s="261">
        <f t="shared" si="167"/>
        <v>142893168</v>
      </c>
      <c r="Q359" s="177">
        <f t="shared" si="164"/>
        <v>0</v>
      </c>
      <c r="R359" s="261">
        <f t="shared" si="168"/>
        <v>0</v>
      </c>
      <c r="T359" s="185">
        <v>3020101010302</v>
      </c>
      <c r="U359" s="259" t="s">
        <v>586</v>
      </c>
      <c r="V359" s="261">
        <v>150000000</v>
      </c>
      <c r="W359" s="261">
        <v>0</v>
      </c>
      <c r="X359" s="261">
        <v>0</v>
      </c>
      <c r="Y359" s="261">
        <v>0</v>
      </c>
      <c r="Z359" s="261">
        <v>150000000</v>
      </c>
      <c r="AA359" s="261">
        <v>7106832</v>
      </c>
      <c r="AB359" s="261">
        <v>7106832</v>
      </c>
      <c r="AC359" s="261">
        <v>142893168</v>
      </c>
      <c r="AD359" s="261">
        <v>0</v>
      </c>
      <c r="AE359" s="261">
        <v>0</v>
      </c>
      <c r="AF359" s="261">
        <v>7106832</v>
      </c>
      <c r="AG359" s="261">
        <v>0</v>
      </c>
      <c r="AH359" s="261">
        <v>150000000</v>
      </c>
      <c r="AI359" s="261">
        <v>142893168</v>
      </c>
      <c r="AJ359" s="261">
        <v>0</v>
      </c>
      <c r="AK359" s="261">
        <v>0</v>
      </c>
      <c r="AL359" s="261">
        <v>0</v>
      </c>
      <c r="AM359" s="261">
        <v>0</v>
      </c>
      <c r="AN359" s="261">
        <v>0</v>
      </c>
      <c r="AO359" s="261">
        <v>0</v>
      </c>
      <c r="AP359" s="261">
        <v>609124504</v>
      </c>
      <c r="AQ359" s="261"/>
      <c r="AS359" s="261"/>
    </row>
    <row r="360" spans="1:45" s="1" customFormat="1" x14ac:dyDescent="0.25">
      <c r="A360" s="204">
        <v>3020101010303</v>
      </c>
      <c r="B360" s="259" t="s">
        <v>587</v>
      </c>
      <c r="C360" s="261">
        <v>685000000</v>
      </c>
      <c r="D360" s="261">
        <v>542192681</v>
      </c>
      <c r="E360" s="261">
        <v>0</v>
      </c>
      <c r="F360" s="261">
        <v>0</v>
      </c>
      <c r="G360" s="261">
        <f>+C360+D360-E360+F360</f>
        <v>1227192681</v>
      </c>
      <c r="H360" s="261">
        <v>96385820</v>
      </c>
      <c r="I360" s="261">
        <v>457574970</v>
      </c>
      <c r="J360" s="261">
        <f t="shared" si="163"/>
        <v>769617711</v>
      </c>
      <c r="K360" s="261">
        <v>4740000</v>
      </c>
      <c r="L360" s="261">
        <v>233537859</v>
      </c>
      <c r="M360" s="261">
        <f t="shared" si="169"/>
        <v>224037111</v>
      </c>
      <c r="N360" s="261">
        <v>0</v>
      </c>
      <c r="O360" s="261">
        <v>1227192681</v>
      </c>
      <c r="P360" s="261">
        <f t="shared" si="167"/>
        <v>769617711</v>
      </c>
      <c r="Q360" s="177">
        <f t="shared" si="164"/>
        <v>0</v>
      </c>
      <c r="R360" s="261">
        <f t="shared" si="168"/>
        <v>233537859</v>
      </c>
      <c r="S360" s="257"/>
      <c r="T360" s="185">
        <v>3020101010303</v>
      </c>
      <c r="U360" s="259" t="s">
        <v>587</v>
      </c>
      <c r="V360" s="261">
        <v>685000000</v>
      </c>
      <c r="W360" s="261">
        <v>542192681</v>
      </c>
      <c r="X360" s="261">
        <v>0</v>
      </c>
      <c r="Y360" s="261">
        <v>0</v>
      </c>
      <c r="Z360" s="261">
        <v>1227192681</v>
      </c>
      <c r="AA360" s="261">
        <v>96385820</v>
      </c>
      <c r="AB360" s="261">
        <v>457574970</v>
      </c>
      <c r="AC360" s="261">
        <v>769617711</v>
      </c>
      <c r="AD360" s="261">
        <v>4740000</v>
      </c>
      <c r="AE360" s="261">
        <v>233537859</v>
      </c>
      <c r="AF360" s="261">
        <v>319037111</v>
      </c>
      <c r="AG360" s="261">
        <v>0</v>
      </c>
      <c r="AH360" s="261">
        <v>1227192681</v>
      </c>
      <c r="AI360" s="261">
        <v>769617711</v>
      </c>
      <c r="AJ360" s="261">
        <v>0</v>
      </c>
      <c r="AK360" s="261">
        <v>0</v>
      </c>
      <c r="AL360" s="261">
        <v>0</v>
      </c>
      <c r="AM360" s="261">
        <v>150000000</v>
      </c>
      <c r="AN360" s="261">
        <v>150000000</v>
      </c>
      <c r="AO360" s="261">
        <v>142893168</v>
      </c>
      <c r="AP360" s="261">
        <v>0</v>
      </c>
      <c r="AQ360" s="261"/>
      <c r="AS360" s="261"/>
    </row>
    <row r="361" spans="1:45" x14ac:dyDescent="0.25">
      <c r="A361" s="7">
        <v>30201010104</v>
      </c>
      <c r="B361" s="8" t="s">
        <v>588</v>
      </c>
      <c r="C361" s="9">
        <f>+C362+C363</f>
        <v>45000000</v>
      </c>
      <c r="D361" s="9">
        <f t="shared" ref="D361:R361" si="181">+D362+D363</f>
        <v>0</v>
      </c>
      <c r="E361" s="9">
        <f t="shared" si="181"/>
        <v>0</v>
      </c>
      <c r="F361" s="9">
        <f t="shared" si="181"/>
        <v>0</v>
      </c>
      <c r="G361" s="9">
        <f t="shared" si="181"/>
        <v>45000000</v>
      </c>
      <c r="H361" s="9">
        <f t="shared" si="181"/>
        <v>0</v>
      </c>
      <c r="I361" s="9">
        <f t="shared" si="181"/>
        <v>26400000</v>
      </c>
      <c r="J361" s="9">
        <f t="shared" si="163"/>
        <v>18600000</v>
      </c>
      <c r="K361" s="9">
        <f t="shared" si="181"/>
        <v>0</v>
      </c>
      <c r="L361" s="9">
        <f t="shared" si="181"/>
        <v>26400000</v>
      </c>
      <c r="M361" s="9">
        <f t="shared" si="181"/>
        <v>0</v>
      </c>
      <c r="N361" s="9">
        <f t="shared" si="181"/>
        <v>0</v>
      </c>
      <c r="O361" s="9">
        <f t="shared" si="181"/>
        <v>28800000</v>
      </c>
      <c r="P361" s="9">
        <f t="shared" si="181"/>
        <v>2400000</v>
      </c>
      <c r="Q361" s="9">
        <f t="shared" si="164"/>
        <v>16200000</v>
      </c>
      <c r="R361" s="9">
        <f t="shared" si="181"/>
        <v>26400000</v>
      </c>
      <c r="S361" s="1"/>
      <c r="T361" s="185">
        <v>30201010104</v>
      </c>
      <c r="U361" s="259" t="s">
        <v>588</v>
      </c>
      <c r="V361" s="261">
        <v>45000000</v>
      </c>
      <c r="W361" s="261">
        <v>0</v>
      </c>
      <c r="X361" s="261">
        <v>0</v>
      </c>
      <c r="Y361" s="261">
        <v>0</v>
      </c>
      <c r="Z361" s="261">
        <v>45000000</v>
      </c>
      <c r="AA361" s="261">
        <v>0</v>
      </c>
      <c r="AB361" s="261">
        <v>26400000</v>
      </c>
      <c r="AC361" s="261">
        <v>18600000</v>
      </c>
      <c r="AD361" s="261">
        <v>0</v>
      </c>
      <c r="AE361" s="261">
        <v>26400000</v>
      </c>
      <c r="AF361" s="261">
        <v>0</v>
      </c>
      <c r="AG361" s="261">
        <v>0</v>
      </c>
      <c r="AH361" s="261">
        <v>28800000</v>
      </c>
      <c r="AI361" s="261">
        <v>2400000</v>
      </c>
      <c r="AJ361" s="261">
        <v>16200000</v>
      </c>
      <c r="AK361" s="261">
        <v>0</v>
      </c>
      <c r="AL361" s="261">
        <v>0</v>
      </c>
      <c r="AM361" s="261">
        <v>1227192681</v>
      </c>
      <c r="AN361" s="261">
        <v>1227192681</v>
      </c>
      <c r="AO361" s="261">
        <v>836003531</v>
      </c>
      <c r="AP361" s="261">
        <v>0</v>
      </c>
      <c r="AQ361" s="9"/>
      <c r="AS361" s="9"/>
    </row>
    <row r="362" spans="1:45" s="1" customFormat="1" x14ac:dyDescent="0.25">
      <c r="A362" s="205">
        <v>3020101010401</v>
      </c>
      <c r="B362" s="259" t="s">
        <v>589</v>
      </c>
      <c r="C362" s="261">
        <v>5000000</v>
      </c>
      <c r="D362" s="261">
        <v>0</v>
      </c>
      <c r="E362" s="261">
        <v>0</v>
      </c>
      <c r="F362" s="261">
        <v>0</v>
      </c>
      <c r="G362" s="261">
        <f>+C362+D362-E362+F362</f>
        <v>5000000</v>
      </c>
      <c r="H362" s="261">
        <v>0</v>
      </c>
      <c r="I362" s="261">
        <v>0</v>
      </c>
      <c r="J362" s="261">
        <f t="shared" si="163"/>
        <v>5000000</v>
      </c>
      <c r="K362" s="261">
        <v>0</v>
      </c>
      <c r="L362" s="261">
        <v>0</v>
      </c>
      <c r="M362" s="261">
        <f t="shared" si="169"/>
        <v>0</v>
      </c>
      <c r="N362" s="261">
        <v>0</v>
      </c>
      <c r="O362" s="261">
        <v>0</v>
      </c>
      <c r="P362" s="261">
        <f t="shared" si="167"/>
        <v>0</v>
      </c>
      <c r="Q362" s="177">
        <f t="shared" si="164"/>
        <v>5000000</v>
      </c>
      <c r="R362" s="261">
        <f t="shared" si="168"/>
        <v>0</v>
      </c>
      <c r="S362" s="257"/>
      <c r="T362" s="185">
        <v>3020101010401</v>
      </c>
      <c r="U362" s="259" t="s">
        <v>589</v>
      </c>
      <c r="V362" s="261">
        <v>5000000</v>
      </c>
      <c r="W362" s="261">
        <v>0</v>
      </c>
      <c r="X362" s="261">
        <v>0</v>
      </c>
      <c r="Y362" s="261">
        <v>0</v>
      </c>
      <c r="Z362" s="261">
        <v>5000000</v>
      </c>
      <c r="AA362" s="261">
        <v>0</v>
      </c>
      <c r="AB362" s="261">
        <v>0</v>
      </c>
      <c r="AC362" s="261">
        <v>5000000</v>
      </c>
      <c r="AD362" s="261">
        <v>0</v>
      </c>
      <c r="AE362" s="261">
        <v>0</v>
      </c>
      <c r="AF362" s="261">
        <v>0</v>
      </c>
      <c r="AG362" s="261">
        <v>0</v>
      </c>
      <c r="AH362" s="261">
        <v>0</v>
      </c>
      <c r="AI362" s="261">
        <v>0</v>
      </c>
      <c r="AJ362" s="261">
        <v>5000000</v>
      </c>
      <c r="AK362" s="261">
        <v>2400000</v>
      </c>
      <c r="AL362" s="261">
        <v>0</v>
      </c>
      <c r="AM362" s="261">
        <v>28800000</v>
      </c>
      <c r="AN362" s="261">
        <v>26400000</v>
      </c>
      <c r="AO362" s="261">
        <v>0</v>
      </c>
      <c r="AP362" s="261">
        <v>18600000</v>
      </c>
      <c r="AQ362" s="261"/>
      <c r="AS362" s="261"/>
    </row>
    <row r="363" spans="1:45" x14ac:dyDescent="0.25">
      <c r="A363" s="206">
        <v>3020101010402</v>
      </c>
      <c r="B363" s="259" t="s">
        <v>590</v>
      </c>
      <c r="C363" s="261">
        <v>40000000</v>
      </c>
      <c r="D363" s="261">
        <v>0</v>
      </c>
      <c r="E363" s="261">
        <v>0</v>
      </c>
      <c r="F363" s="261">
        <v>0</v>
      </c>
      <c r="G363" s="261">
        <f>+C363+D363-E363+F363</f>
        <v>40000000</v>
      </c>
      <c r="H363" s="261">
        <v>0</v>
      </c>
      <c r="I363" s="261">
        <v>26400000</v>
      </c>
      <c r="J363" s="261">
        <f t="shared" si="163"/>
        <v>13600000</v>
      </c>
      <c r="K363" s="261">
        <v>0</v>
      </c>
      <c r="L363" s="261">
        <v>26400000</v>
      </c>
      <c r="M363" s="261">
        <f t="shared" si="169"/>
        <v>0</v>
      </c>
      <c r="N363" s="261">
        <v>0</v>
      </c>
      <c r="O363" s="261">
        <v>28800000</v>
      </c>
      <c r="P363" s="261">
        <f t="shared" si="167"/>
        <v>2400000</v>
      </c>
      <c r="Q363" s="177">
        <f t="shared" si="164"/>
        <v>11200000</v>
      </c>
      <c r="R363" s="261">
        <f t="shared" si="168"/>
        <v>26400000</v>
      </c>
      <c r="T363" s="185">
        <v>3020101010402</v>
      </c>
      <c r="U363" s="259" t="s">
        <v>590</v>
      </c>
      <c r="V363" s="261">
        <v>40000000</v>
      </c>
      <c r="W363" s="261">
        <v>0</v>
      </c>
      <c r="X363" s="261">
        <v>0</v>
      </c>
      <c r="Y363" s="261">
        <v>0</v>
      </c>
      <c r="Z363" s="261">
        <v>40000000</v>
      </c>
      <c r="AA363" s="261">
        <v>0</v>
      </c>
      <c r="AB363" s="261">
        <v>26400000</v>
      </c>
      <c r="AC363" s="261">
        <v>13600000</v>
      </c>
      <c r="AD363" s="261">
        <v>0</v>
      </c>
      <c r="AE363" s="261">
        <v>26400000</v>
      </c>
      <c r="AF363" s="261">
        <v>0</v>
      </c>
      <c r="AG363" s="261">
        <v>0</v>
      </c>
      <c r="AH363" s="261">
        <v>28800000</v>
      </c>
      <c r="AI363" s="261">
        <v>2400000</v>
      </c>
      <c r="AJ363" s="261">
        <v>11200000</v>
      </c>
      <c r="AK363" s="261">
        <v>0</v>
      </c>
      <c r="AL363" s="261">
        <v>0</v>
      </c>
      <c r="AM363" s="261">
        <v>0</v>
      </c>
      <c r="AN363" s="261">
        <v>0</v>
      </c>
      <c r="AO363" s="261">
        <v>0</v>
      </c>
      <c r="AP363" s="261">
        <v>5000000</v>
      </c>
      <c r="AQ363" s="261"/>
      <c r="AS363" s="261"/>
    </row>
    <row r="364" spans="1:45" x14ac:dyDescent="0.25">
      <c r="A364" s="7">
        <v>30201010105</v>
      </c>
      <c r="B364" s="8" t="s">
        <v>591</v>
      </c>
      <c r="C364" s="9">
        <f>+C365</f>
        <v>260000000</v>
      </c>
      <c r="D364" s="9">
        <f t="shared" ref="D364:R364" si="182">+D365</f>
        <v>0</v>
      </c>
      <c r="E364" s="9">
        <f t="shared" si="182"/>
        <v>0</v>
      </c>
      <c r="F364" s="9">
        <f t="shared" si="182"/>
        <v>0</v>
      </c>
      <c r="G364" s="9">
        <f t="shared" si="182"/>
        <v>260000000</v>
      </c>
      <c r="H364" s="9">
        <f t="shared" si="182"/>
        <v>0</v>
      </c>
      <c r="I364" s="9">
        <f t="shared" si="182"/>
        <v>0</v>
      </c>
      <c r="J364" s="9">
        <f t="shared" si="163"/>
        <v>260000000</v>
      </c>
      <c r="K364" s="9">
        <f t="shared" si="182"/>
        <v>0</v>
      </c>
      <c r="L364" s="9">
        <f t="shared" si="182"/>
        <v>0</v>
      </c>
      <c r="M364" s="9">
        <f t="shared" si="182"/>
        <v>0</v>
      </c>
      <c r="N364" s="9">
        <f t="shared" si="182"/>
        <v>149000000</v>
      </c>
      <c r="O364" s="9">
        <f t="shared" si="182"/>
        <v>149000000</v>
      </c>
      <c r="P364" s="9">
        <f t="shared" si="182"/>
        <v>149000000</v>
      </c>
      <c r="Q364" s="9">
        <f t="shared" si="164"/>
        <v>111000000</v>
      </c>
      <c r="R364" s="9">
        <f t="shared" si="182"/>
        <v>0</v>
      </c>
      <c r="S364" s="1"/>
      <c r="T364" s="185">
        <v>30201010105</v>
      </c>
      <c r="U364" s="259" t="s">
        <v>591</v>
      </c>
      <c r="V364" s="261">
        <v>260000000</v>
      </c>
      <c r="W364" s="261">
        <v>0</v>
      </c>
      <c r="X364" s="261">
        <v>0</v>
      </c>
      <c r="Y364" s="261">
        <v>0</v>
      </c>
      <c r="Z364" s="261">
        <v>260000000</v>
      </c>
      <c r="AA364" s="261">
        <v>0</v>
      </c>
      <c r="AB364" s="261">
        <v>0</v>
      </c>
      <c r="AC364" s="261">
        <v>260000000</v>
      </c>
      <c r="AD364" s="261">
        <v>0</v>
      </c>
      <c r="AE364" s="261">
        <v>0</v>
      </c>
      <c r="AF364" s="261">
        <v>0</v>
      </c>
      <c r="AG364" s="261">
        <v>149000000</v>
      </c>
      <c r="AH364" s="261">
        <v>149000000</v>
      </c>
      <c r="AI364" s="261">
        <v>149000000</v>
      </c>
      <c r="AJ364" s="261">
        <v>111000000</v>
      </c>
      <c r="AK364" s="261">
        <v>2400000</v>
      </c>
      <c r="AL364" s="261">
        <v>0</v>
      </c>
      <c r="AM364" s="261">
        <v>28800000</v>
      </c>
      <c r="AN364" s="261">
        <v>26400000</v>
      </c>
      <c r="AO364" s="261">
        <v>0</v>
      </c>
      <c r="AP364" s="261">
        <v>13600000</v>
      </c>
      <c r="AQ364" s="9"/>
      <c r="AS364" s="9"/>
    </row>
    <row r="365" spans="1:45" x14ac:dyDescent="0.25">
      <c r="A365" s="205">
        <v>3020101010501</v>
      </c>
      <c r="B365" s="259" t="s">
        <v>592</v>
      </c>
      <c r="C365" s="261">
        <v>260000000</v>
      </c>
      <c r="D365" s="261">
        <v>0</v>
      </c>
      <c r="E365" s="261">
        <v>0</v>
      </c>
      <c r="F365" s="261">
        <v>0</v>
      </c>
      <c r="G365" s="261">
        <f>+C365+D365-E365+F365</f>
        <v>260000000</v>
      </c>
      <c r="H365" s="261">
        <v>0</v>
      </c>
      <c r="I365" s="261">
        <v>0</v>
      </c>
      <c r="J365" s="261">
        <f t="shared" si="163"/>
        <v>260000000</v>
      </c>
      <c r="K365" s="261">
        <v>0</v>
      </c>
      <c r="L365" s="261">
        <v>0</v>
      </c>
      <c r="M365" s="261">
        <f t="shared" si="169"/>
        <v>0</v>
      </c>
      <c r="N365" s="261">
        <v>149000000</v>
      </c>
      <c r="O365" s="261">
        <v>149000000</v>
      </c>
      <c r="P365" s="261">
        <f t="shared" si="167"/>
        <v>149000000</v>
      </c>
      <c r="Q365" s="177">
        <f t="shared" si="164"/>
        <v>111000000</v>
      </c>
      <c r="R365" s="261">
        <f t="shared" si="168"/>
        <v>0</v>
      </c>
      <c r="T365" s="185">
        <v>3020101010501</v>
      </c>
      <c r="U365" s="259" t="s">
        <v>592</v>
      </c>
      <c r="V365" s="261">
        <v>260000000</v>
      </c>
      <c r="W365" s="261">
        <v>0</v>
      </c>
      <c r="X365" s="261">
        <v>0</v>
      </c>
      <c r="Y365" s="261">
        <v>0</v>
      </c>
      <c r="Z365" s="261">
        <v>260000000</v>
      </c>
      <c r="AA365" s="261">
        <v>0</v>
      </c>
      <c r="AB365" s="261">
        <v>0</v>
      </c>
      <c r="AC365" s="261">
        <v>260000000</v>
      </c>
      <c r="AD365" s="261">
        <v>0</v>
      </c>
      <c r="AE365" s="261">
        <v>0</v>
      </c>
      <c r="AF365" s="261">
        <v>0</v>
      </c>
      <c r="AG365" s="261">
        <v>149000000</v>
      </c>
      <c r="AH365" s="261">
        <v>149000000</v>
      </c>
      <c r="AI365" s="261">
        <v>149000000</v>
      </c>
      <c r="AJ365" s="261">
        <v>111000000</v>
      </c>
      <c r="AK365" s="261">
        <v>0</v>
      </c>
      <c r="AL365" s="261">
        <v>0</v>
      </c>
      <c r="AM365" s="261">
        <v>0</v>
      </c>
      <c r="AN365" s="261">
        <v>0</v>
      </c>
      <c r="AO365" s="261">
        <v>0</v>
      </c>
      <c r="AP365" s="261">
        <v>260000000</v>
      </c>
      <c r="AQ365" s="261"/>
      <c r="AS365" s="261"/>
    </row>
    <row r="366" spans="1:45" s="1" customFormat="1" x14ac:dyDescent="0.25">
      <c r="A366" s="7">
        <v>30201010106</v>
      </c>
      <c r="B366" s="8" t="s">
        <v>593</v>
      </c>
      <c r="C366" s="9">
        <f>+C367+C368+C369</f>
        <v>110000000</v>
      </c>
      <c r="D366" s="9">
        <f t="shared" ref="D366:R366" si="183">+D367+D368+D369</f>
        <v>0</v>
      </c>
      <c r="E366" s="9">
        <f t="shared" si="183"/>
        <v>0</v>
      </c>
      <c r="F366" s="9">
        <f t="shared" si="183"/>
        <v>0</v>
      </c>
      <c r="G366" s="9">
        <f t="shared" si="183"/>
        <v>110000000</v>
      </c>
      <c r="H366" s="9">
        <f t="shared" si="183"/>
        <v>14620206</v>
      </c>
      <c r="I366" s="9">
        <f t="shared" si="183"/>
        <v>22694506</v>
      </c>
      <c r="J366" s="9">
        <f t="shared" si="163"/>
        <v>87305494</v>
      </c>
      <c r="K366" s="9">
        <f t="shared" si="183"/>
        <v>14320206</v>
      </c>
      <c r="L366" s="9">
        <f t="shared" si="183"/>
        <v>22570206</v>
      </c>
      <c r="M366" s="9">
        <f t="shared" si="183"/>
        <v>124300</v>
      </c>
      <c r="N366" s="9">
        <f t="shared" si="183"/>
        <v>14620206</v>
      </c>
      <c r="O366" s="9">
        <f t="shared" si="183"/>
        <v>22694506</v>
      </c>
      <c r="P366" s="9">
        <f t="shared" si="183"/>
        <v>0</v>
      </c>
      <c r="Q366" s="9">
        <f t="shared" si="164"/>
        <v>87305494</v>
      </c>
      <c r="R366" s="9">
        <f t="shared" si="183"/>
        <v>22570206</v>
      </c>
      <c r="T366" s="185">
        <v>30201010106</v>
      </c>
      <c r="U366" s="259" t="s">
        <v>593</v>
      </c>
      <c r="V366" s="261">
        <v>110000000</v>
      </c>
      <c r="W366" s="261">
        <v>0</v>
      </c>
      <c r="X366" s="261">
        <v>0</v>
      </c>
      <c r="Y366" s="261">
        <v>0</v>
      </c>
      <c r="Z366" s="261">
        <v>110000000</v>
      </c>
      <c r="AA366" s="261">
        <v>14620206</v>
      </c>
      <c r="AB366" s="261">
        <v>22694506</v>
      </c>
      <c r="AC366" s="261">
        <v>87305494</v>
      </c>
      <c r="AD366" s="261">
        <v>14320206</v>
      </c>
      <c r="AE366" s="261">
        <v>22570206</v>
      </c>
      <c r="AF366" s="261">
        <v>300000</v>
      </c>
      <c r="AG366" s="261">
        <v>14620206</v>
      </c>
      <c r="AH366" s="261">
        <v>22694506</v>
      </c>
      <c r="AI366" s="261">
        <v>0</v>
      </c>
      <c r="AJ366" s="261">
        <v>87305494</v>
      </c>
      <c r="AK366" s="261">
        <v>0</v>
      </c>
      <c r="AL366" s="261">
        <v>0</v>
      </c>
      <c r="AM366" s="261">
        <v>0</v>
      </c>
      <c r="AN366" s="261">
        <v>0</v>
      </c>
      <c r="AO366" s="261">
        <v>0</v>
      </c>
      <c r="AP366" s="261">
        <v>260000000</v>
      </c>
      <c r="AQ366" s="9"/>
      <c r="AS366" s="9"/>
    </row>
    <row r="367" spans="1:45" x14ac:dyDescent="0.25">
      <c r="A367" s="205">
        <v>3020101010601</v>
      </c>
      <c r="B367" s="259" t="s">
        <v>594</v>
      </c>
      <c r="C367" s="261">
        <v>10000000</v>
      </c>
      <c r="D367" s="261">
        <v>0</v>
      </c>
      <c r="E367" s="261">
        <v>0</v>
      </c>
      <c r="F367" s="261">
        <v>0</v>
      </c>
      <c r="G367" s="261">
        <f>+C367+D367-E367+F367</f>
        <v>10000000</v>
      </c>
      <c r="H367" s="261">
        <v>0</v>
      </c>
      <c r="I367" s="261">
        <v>0</v>
      </c>
      <c r="J367" s="261">
        <f t="shared" si="163"/>
        <v>10000000</v>
      </c>
      <c r="K367" s="261">
        <v>0</v>
      </c>
      <c r="L367" s="261">
        <v>0</v>
      </c>
      <c r="M367" s="261">
        <f t="shared" si="169"/>
        <v>0</v>
      </c>
      <c r="N367" s="261">
        <v>0</v>
      </c>
      <c r="O367" s="261">
        <v>0</v>
      </c>
      <c r="P367" s="261">
        <f t="shared" si="167"/>
        <v>0</v>
      </c>
      <c r="Q367" s="177">
        <f t="shared" si="164"/>
        <v>10000000</v>
      </c>
      <c r="R367" s="261">
        <f t="shared" si="168"/>
        <v>0</v>
      </c>
      <c r="T367" s="185">
        <v>3020101010601</v>
      </c>
      <c r="U367" s="259" t="s">
        <v>594</v>
      </c>
      <c r="V367" s="261">
        <v>10000000</v>
      </c>
      <c r="W367" s="261">
        <v>0</v>
      </c>
      <c r="X367" s="261">
        <v>0</v>
      </c>
      <c r="Y367" s="261">
        <v>0</v>
      </c>
      <c r="Z367" s="261">
        <v>10000000</v>
      </c>
      <c r="AA367" s="261">
        <v>0</v>
      </c>
      <c r="AB367" s="261">
        <v>0</v>
      </c>
      <c r="AC367" s="261">
        <v>10000000</v>
      </c>
      <c r="AD367" s="261">
        <v>0</v>
      </c>
      <c r="AE367" s="261">
        <v>0</v>
      </c>
      <c r="AF367" s="261">
        <v>0</v>
      </c>
      <c r="AG367" s="261">
        <v>0</v>
      </c>
      <c r="AH367" s="261">
        <v>0</v>
      </c>
      <c r="AI367" s="261">
        <v>0</v>
      </c>
      <c r="AJ367" s="261">
        <v>10000000</v>
      </c>
      <c r="AK367" s="261">
        <v>175700</v>
      </c>
      <c r="AL367" s="261">
        <v>13820206</v>
      </c>
      <c r="AM367" s="261">
        <v>22070206</v>
      </c>
      <c r="AN367" s="261">
        <v>21894506</v>
      </c>
      <c r="AO367" s="261">
        <v>0</v>
      </c>
      <c r="AP367" s="261">
        <v>88105494</v>
      </c>
      <c r="AQ367" s="261"/>
      <c r="AS367" s="261"/>
    </row>
    <row r="368" spans="1:45" x14ac:dyDescent="0.25">
      <c r="A368" s="206">
        <v>3020101010602</v>
      </c>
      <c r="B368" s="259" t="s">
        <v>595</v>
      </c>
      <c r="C368" s="261">
        <v>50000000</v>
      </c>
      <c r="D368" s="261">
        <v>0</v>
      </c>
      <c r="E368" s="261">
        <v>0</v>
      </c>
      <c r="F368" s="261">
        <v>0</v>
      </c>
      <c r="G368" s="261">
        <f>+C368+D368-E368+F368</f>
        <v>50000000</v>
      </c>
      <c r="H368" s="261">
        <v>0</v>
      </c>
      <c r="I368" s="261">
        <v>0</v>
      </c>
      <c r="J368" s="261">
        <f t="shared" si="163"/>
        <v>50000000</v>
      </c>
      <c r="K368" s="261">
        <v>0</v>
      </c>
      <c r="L368" s="261">
        <v>0</v>
      </c>
      <c r="M368" s="261">
        <f t="shared" si="169"/>
        <v>0</v>
      </c>
      <c r="N368" s="261">
        <v>0</v>
      </c>
      <c r="O368" s="261">
        <v>0</v>
      </c>
      <c r="P368" s="261">
        <f t="shared" si="167"/>
        <v>0</v>
      </c>
      <c r="Q368" s="177">
        <f t="shared" si="164"/>
        <v>50000000</v>
      </c>
      <c r="R368" s="261">
        <f t="shared" si="168"/>
        <v>0</v>
      </c>
      <c r="T368" s="185">
        <v>3020101010602</v>
      </c>
      <c r="U368" s="259" t="s">
        <v>595</v>
      </c>
      <c r="V368" s="261">
        <v>50000000</v>
      </c>
      <c r="W368" s="261">
        <v>0</v>
      </c>
      <c r="X368" s="261">
        <v>0</v>
      </c>
      <c r="Y368" s="261">
        <v>0</v>
      </c>
      <c r="Z368" s="261">
        <v>50000000</v>
      </c>
      <c r="AA368" s="261">
        <v>0</v>
      </c>
      <c r="AB368" s="261">
        <v>0</v>
      </c>
      <c r="AC368" s="261">
        <v>50000000</v>
      </c>
      <c r="AD368" s="261">
        <v>0</v>
      </c>
      <c r="AE368" s="261">
        <v>0</v>
      </c>
      <c r="AF368" s="261">
        <v>0</v>
      </c>
      <c r="AG368" s="261">
        <v>0</v>
      </c>
      <c r="AH368" s="261">
        <v>0</v>
      </c>
      <c r="AI368" s="261">
        <v>0</v>
      </c>
      <c r="AJ368" s="261">
        <v>50000000</v>
      </c>
      <c r="AK368" s="261">
        <v>0</v>
      </c>
      <c r="AL368" s="261">
        <v>0</v>
      </c>
      <c r="AM368" s="261">
        <v>0</v>
      </c>
      <c r="AN368" s="261">
        <v>0</v>
      </c>
      <c r="AO368" s="261">
        <v>0</v>
      </c>
      <c r="AP368" s="261">
        <v>10000000</v>
      </c>
      <c r="AQ368" s="261"/>
      <c r="AS368" s="261"/>
    </row>
    <row r="369" spans="1:45" s="1" customFormat="1" x14ac:dyDescent="0.25">
      <c r="A369" s="204">
        <v>3020101010603</v>
      </c>
      <c r="B369" s="259" t="s">
        <v>596</v>
      </c>
      <c r="C369" s="261">
        <v>50000000</v>
      </c>
      <c r="D369" s="261">
        <v>0</v>
      </c>
      <c r="E369" s="261">
        <v>0</v>
      </c>
      <c r="F369" s="261">
        <v>0</v>
      </c>
      <c r="G369" s="261">
        <f>+C369+D369-E369+F369</f>
        <v>50000000</v>
      </c>
      <c r="H369" s="261">
        <v>14620206</v>
      </c>
      <c r="I369" s="261">
        <v>22694506</v>
      </c>
      <c r="J369" s="261">
        <f t="shared" si="163"/>
        <v>27305494</v>
      </c>
      <c r="K369" s="261">
        <v>14320206</v>
      </c>
      <c r="L369" s="261">
        <v>22570206</v>
      </c>
      <c r="M369" s="261">
        <f t="shared" si="169"/>
        <v>124300</v>
      </c>
      <c r="N369" s="261">
        <v>14620206</v>
      </c>
      <c r="O369" s="261">
        <v>22694506</v>
      </c>
      <c r="P369" s="261">
        <f t="shared" si="167"/>
        <v>0</v>
      </c>
      <c r="Q369" s="177">
        <f t="shared" si="164"/>
        <v>27305494</v>
      </c>
      <c r="R369" s="261">
        <f t="shared" si="168"/>
        <v>22570206</v>
      </c>
      <c r="S369" s="257"/>
      <c r="T369" s="185">
        <v>3020101010603</v>
      </c>
      <c r="U369" s="259" t="s">
        <v>596</v>
      </c>
      <c r="V369" s="261">
        <v>50000000</v>
      </c>
      <c r="W369" s="261">
        <v>0</v>
      </c>
      <c r="X369" s="261">
        <v>0</v>
      </c>
      <c r="Y369" s="261">
        <v>0</v>
      </c>
      <c r="Z369" s="261">
        <v>50000000</v>
      </c>
      <c r="AA369" s="261">
        <v>14620206</v>
      </c>
      <c r="AB369" s="261">
        <v>22694506</v>
      </c>
      <c r="AC369" s="261">
        <v>27305494</v>
      </c>
      <c r="AD369" s="261">
        <v>14320206</v>
      </c>
      <c r="AE369" s="261">
        <v>22570206</v>
      </c>
      <c r="AF369" s="261">
        <v>300000</v>
      </c>
      <c r="AG369" s="261">
        <v>14620206</v>
      </c>
      <c r="AH369" s="261">
        <v>22694506</v>
      </c>
      <c r="AI369" s="261">
        <v>0</v>
      </c>
      <c r="AJ369" s="261">
        <v>27305494</v>
      </c>
      <c r="AK369" s="261">
        <v>0</v>
      </c>
      <c r="AL369" s="261">
        <v>0</v>
      </c>
      <c r="AM369" s="261">
        <v>0</v>
      </c>
      <c r="AN369" s="261">
        <v>0</v>
      </c>
      <c r="AO369" s="261">
        <v>0</v>
      </c>
      <c r="AP369" s="261">
        <v>50000000</v>
      </c>
      <c r="AQ369" s="261"/>
      <c r="AS369" s="261"/>
    </row>
    <row r="370" spans="1:45" x14ac:dyDescent="0.25">
      <c r="A370" s="7">
        <v>30201010107</v>
      </c>
      <c r="B370" s="8" t="s">
        <v>597</v>
      </c>
      <c r="C370" s="9">
        <f>+C371+C372</f>
        <v>360000000</v>
      </c>
      <c r="D370" s="9">
        <f t="shared" ref="D370:R370" si="184">+D371+D372</f>
        <v>0</v>
      </c>
      <c r="E370" s="9">
        <f t="shared" si="184"/>
        <v>0</v>
      </c>
      <c r="F370" s="9">
        <f t="shared" si="184"/>
        <v>0</v>
      </c>
      <c r="G370" s="9">
        <f t="shared" si="184"/>
        <v>360000000</v>
      </c>
      <c r="H370" s="9">
        <f t="shared" si="184"/>
        <v>95496325</v>
      </c>
      <c r="I370" s="9">
        <f t="shared" si="184"/>
        <v>278045710</v>
      </c>
      <c r="J370" s="9">
        <f t="shared" si="163"/>
        <v>81954290</v>
      </c>
      <c r="K370" s="9">
        <f t="shared" si="184"/>
        <v>60856325</v>
      </c>
      <c r="L370" s="9">
        <f t="shared" si="184"/>
        <v>304433350</v>
      </c>
      <c r="M370" s="9">
        <f t="shared" si="184"/>
        <v>-26387640</v>
      </c>
      <c r="N370" s="9">
        <f t="shared" si="184"/>
        <v>95496325</v>
      </c>
      <c r="O370" s="9">
        <f t="shared" si="184"/>
        <v>278968350</v>
      </c>
      <c r="P370" s="9">
        <f t="shared" si="184"/>
        <v>922640</v>
      </c>
      <c r="Q370" s="9">
        <f t="shared" si="164"/>
        <v>81031650</v>
      </c>
      <c r="R370" s="9">
        <f t="shared" si="184"/>
        <v>304433350</v>
      </c>
      <c r="S370" s="1"/>
      <c r="T370" s="185">
        <v>30201010107</v>
      </c>
      <c r="U370" s="259" t="s">
        <v>597</v>
      </c>
      <c r="V370" s="261">
        <v>360000000</v>
      </c>
      <c r="W370" s="261">
        <v>0</v>
      </c>
      <c r="X370" s="261">
        <v>0</v>
      </c>
      <c r="Y370" s="261">
        <v>0</v>
      </c>
      <c r="Z370" s="261">
        <v>360000000</v>
      </c>
      <c r="AA370" s="261">
        <v>95496325</v>
      </c>
      <c r="AB370" s="261">
        <v>278045710</v>
      </c>
      <c r="AC370" s="261">
        <v>81954290</v>
      </c>
      <c r="AD370" s="261">
        <v>60856325</v>
      </c>
      <c r="AE370" s="261">
        <v>304433350</v>
      </c>
      <c r="AF370" s="261">
        <v>8252360</v>
      </c>
      <c r="AG370" s="261">
        <v>95496325</v>
      </c>
      <c r="AH370" s="261">
        <v>278968350</v>
      </c>
      <c r="AI370" s="261">
        <v>922640</v>
      </c>
      <c r="AJ370" s="261">
        <v>81031650</v>
      </c>
      <c r="AK370" s="261">
        <v>175700</v>
      </c>
      <c r="AL370" s="261">
        <v>13820206</v>
      </c>
      <c r="AM370" s="261">
        <v>22070206</v>
      </c>
      <c r="AN370" s="261">
        <v>21894506</v>
      </c>
      <c r="AO370" s="261">
        <v>0</v>
      </c>
      <c r="AP370" s="261">
        <v>28105494</v>
      </c>
      <c r="AQ370" s="9"/>
      <c r="AS370" s="9"/>
    </row>
    <row r="371" spans="1:45" x14ac:dyDescent="0.25">
      <c r="A371" s="205">
        <v>3020101010701</v>
      </c>
      <c r="B371" s="259" t="s">
        <v>598</v>
      </c>
      <c r="C371" s="261">
        <v>130000000</v>
      </c>
      <c r="D371" s="261">
        <v>0</v>
      </c>
      <c r="E371" s="261">
        <v>0</v>
      </c>
      <c r="F371" s="261">
        <v>0</v>
      </c>
      <c r="G371" s="261">
        <f>+C371+D371-E371+F371</f>
        <v>130000000</v>
      </c>
      <c r="H371" s="261">
        <v>48968350</v>
      </c>
      <c r="I371" s="261">
        <v>48968350</v>
      </c>
      <c r="J371" s="261">
        <f t="shared" si="163"/>
        <v>81031650</v>
      </c>
      <c r="K371" s="261">
        <v>48968350</v>
      </c>
      <c r="L371" s="261">
        <v>83608350</v>
      </c>
      <c r="M371" s="261">
        <f t="shared" si="169"/>
        <v>-34640000</v>
      </c>
      <c r="N371" s="261">
        <v>48968350</v>
      </c>
      <c r="O371" s="261">
        <v>48968350</v>
      </c>
      <c r="P371" s="261">
        <f t="shared" si="167"/>
        <v>0</v>
      </c>
      <c r="Q371" s="177">
        <f t="shared" si="164"/>
        <v>81031650</v>
      </c>
      <c r="R371" s="261">
        <f t="shared" si="168"/>
        <v>83608350</v>
      </c>
      <c r="T371" s="185">
        <v>3020101010701</v>
      </c>
      <c r="U371" s="259" t="s">
        <v>598</v>
      </c>
      <c r="V371" s="261">
        <v>130000000</v>
      </c>
      <c r="W371" s="261">
        <v>0</v>
      </c>
      <c r="X371" s="261">
        <v>0</v>
      </c>
      <c r="Y371" s="261">
        <v>0</v>
      </c>
      <c r="Z371" s="261">
        <v>130000000</v>
      </c>
      <c r="AA371" s="261">
        <v>48968350</v>
      </c>
      <c r="AB371" s="261">
        <v>48968350</v>
      </c>
      <c r="AC371" s="261">
        <v>81031650</v>
      </c>
      <c r="AD371" s="261">
        <v>48968350</v>
      </c>
      <c r="AE371" s="261">
        <v>83608350</v>
      </c>
      <c r="AF371" s="261">
        <v>-34640000</v>
      </c>
      <c r="AG371" s="261">
        <v>48968350</v>
      </c>
      <c r="AH371" s="261">
        <v>48968350</v>
      </c>
      <c r="AI371" s="261">
        <v>0</v>
      </c>
      <c r="AJ371" s="261">
        <v>81031650</v>
      </c>
      <c r="AK371" s="261">
        <v>34640000</v>
      </c>
      <c r="AL371" s="261">
        <v>46527975</v>
      </c>
      <c r="AM371" s="261">
        <v>264640000</v>
      </c>
      <c r="AN371" s="261">
        <v>230000000</v>
      </c>
      <c r="AO371" s="261">
        <v>12280000</v>
      </c>
      <c r="AP371" s="261">
        <v>130000000</v>
      </c>
      <c r="AQ371" s="261"/>
      <c r="AS371" s="261"/>
    </row>
    <row r="372" spans="1:45" s="1" customFormat="1" x14ac:dyDescent="0.25">
      <c r="A372" s="206">
        <v>3020101010702</v>
      </c>
      <c r="B372" s="259" t="s">
        <v>599</v>
      </c>
      <c r="C372" s="261">
        <v>230000000</v>
      </c>
      <c r="D372" s="261">
        <v>0</v>
      </c>
      <c r="E372" s="261">
        <v>0</v>
      </c>
      <c r="F372" s="261">
        <v>0</v>
      </c>
      <c r="G372" s="261">
        <f>+C372+D372-E372+F372</f>
        <v>230000000</v>
      </c>
      <c r="H372" s="261">
        <v>46527975</v>
      </c>
      <c r="I372" s="261">
        <v>229077360</v>
      </c>
      <c r="J372" s="261">
        <f t="shared" si="163"/>
        <v>922640</v>
      </c>
      <c r="K372" s="261">
        <v>11887975</v>
      </c>
      <c r="L372" s="261">
        <v>220825000</v>
      </c>
      <c r="M372" s="261">
        <f t="shared" si="169"/>
        <v>8252360</v>
      </c>
      <c r="N372" s="261">
        <v>46527975</v>
      </c>
      <c r="O372" s="261">
        <v>230000000</v>
      </c>
      <c r="P372" s="261">
        <f t="shared" si="167"/>
        <v>922640</v>
      </c>
      <c r="Q372" s="177">
        <f t="shared" si="164"/>
        <v>0</v>
      </c>
      <c r="R372" s="261">
        <f t="shared" si="168"/>
        <v>220825000</v>
      </c>
      <c r="S372" s="257"/>
      <c r="T372" s="185">
        <v>3020101010702</v>
      </c>
      <c r="U372" s="259" t="s">
        <v>599</v>
      </c>
      <c r="V372" s="261">
        <v>230000000</v>
      </c>
      <c r="W372" s="261">
        <v>0</v>
      </c>
      <c r="X372" s="261">
        <v>0</v>
      </c>
      <c r="Y372" s="261">
        <v>0</v>
      </c>
      <c r="Z372" s="261">
        <v>230000000</v>
      </c>
      <c r="AA372" s="261">
        <v>46527975</v>
      </c>
      <c r="AB372" s="261">
        <v>229077360</v>
      </c>
      <c r="AC372" s="261">
        <v>922640</v>
      </c>
      <c r="AD372" s="261">
        <v>11887975</v>
      </c>
      <c r="AE372" s="261">
        <v>220825000</v>
      </c>
      <c r="AF372" s="261">
        <v>42892360</v>
      </c>
      <c r="AG372" s="261">
        <v>46527975</v>
      </c>
      <c r="AH372" s="261">
        <v>230000000</v>
      </c>
      <c r="AI372" s="261">
        <v>922640</v>
      </c>
      <c r="AJ372" s="261">
        <v>0</v>
      </c>
      <c r="AK372" s="261">
        <v>0</v>
      </c>
      <c r="AL372" s="261">
        <v>0</v>
      </c>
      <c r="AM372" s="261">
        <v>0</v>
      </c>
      <c r="AN372" s="261">
        <v>0</v>
      </c>
      <c r="AO372" s="261">
        <v>0</v>
      </c>
      <c r="AP372" s="261">
        <v>130000000</v>
      </c>
      <c r="AQ372" s="261"/>
      <c r="AS372" s="261"/>
    </row>
    <row r="373" spans="1:45" x14ac:dyDescent="0.25">
      <c r="A373" s="7">
        <v>30201010108</v>
      </c>
      <c r="B373" s="8" t="s">
        <v>600</v>
      </c>
      <c r="C373" s="9">
        <f>+C374+C375</f>
        <v>15000000</v>
      </c>
      <c r="D373" s="9">
        <f t="shared" ref="D373:R373" si="185">+D374+D375</f>
        <v>0</v>
      </c>
      <c r="E373" s="9">
        <f t="shared" si="185"/>
        <v>0</v>
      </c>
      <c r="F373" s="9">
        <f t="shared" si="185"/>
        <v>0</v>
      </c>
      <c r="G373" s="9">
        <f t="shared" si="185"/>
        <v>15000000</v>
      </c>
      <c r="H373" s="9">
        <f t="shared" si="185"/>
        <v>0</v>
      </c>
      <c r="I373" s="9">
        <f t="shared" si="185"/>
        <v>13500000</v>
      </c>
      <c r="J373" s="9">
        <f t="shared" si="163"/>
        <v>1500000</v>
      </c>
      <c r="K373" s="9">
        <f t="shared" si="185"/>
        <v>0</v>
      </c>
      <c r="L373" s="9">
        <f t="shared" si="185"/>
        <v>13500000</v>
      </c>
      <c r="M373" s="9">
        <f t="shared" si="185"/>
        <v>0</v>
      </c>
      <c r="N373" s="9">
        <f t="shared" si="185"/>
        <v>0</v>
      </c>
      <c r="O373" s="9">
        <f t="shared" si="185"/>
        <v>13500000</v>
      </c>
      <c r="P373" s="9">
        <f t="shared" si="185"/>
        <v>0</v>
      </c>
      <c r="Q373" s="9">
        <f t="shared" si="164"/>
        <v>1500000</v>
      </c>
      <c r="R373" s="9">
        <f t="shared" si="185"/>
        <v>13500000</v>
      </c>
      <c r="S373" s="1"/>
      <c r="T373" s="185">
        <v>30201010108</v>
      </c>
      <c r="U373" s="259" t="s">
        <v>600</v>
      </c>
      <c r="V373" s="261">
        <v>15000000</v>
      </c>
      <c r="W373" s="261">
        <v>0</v>
      </c>
      <c r="X373" s="261">
        <v>0</v>
      </c>
      <c r="Y373" s="261">
        <v>0</v>
      </c>
      <c r="Z373" s="261">
        <v>15000000</v>
      </c>
      <c r="AA373" s="261">
        <v>0</v>
      </c>
      <c r="AB373" s="261">
        <v>13500000</v>
      </c>
      <c r="AC373" s="261">
        <v>1500000</v>
      </c>
      <c r="AD373" s="261">
        <v>0</v>
      </c>
      <c r="AE373" s="261">
        <v>13500000</v>
      </c>
      <c r="AF373" s="261">
        <v>0</v>
      </c>
      <c r="AG373" s="261">
        <v>0</v>
      </c>
      <c r="AH373" s="261">
        <v>13500000</v>
      </c>
      <c r="AI373" s="261">
        <v>0</v>
      </c>
      <c r="AJ373" s="261">
        <v>1500000</v>
      </c>
      <c r="AK373" s="261">
        <v>34640000</v>
      </c>
      <c r="AL373" s="261">
        <v>46527975</v>
      </c>
      <c r="AM373" s="261">
        <v>264640000</v>
      </c>
      <c r="AN373" s="261">
        <v>230000000</v>
      </c>
      <c r="AO373" s="261">
        <v>12280000</v>
      </c>
      <c r="AP373" s="261">
        <v>0</v>
      </c>
      <c r="AQ373" s="9"/>
      <c r="AS373" s="9"/>
    </row>
    <row r="374" spans="1:45" x14ac:dyDescent="0.25">
      <c r="A374" s="206">
        <v>3020101010802</v>
      </c>
      <c r="B374" s="259" t="s">
        <v>601</v>
      </c>
      <c r="C374" s="261">
        <v>5000000</v>
      </c>
      <c r="D374" s="261">
        <v>0</v>
      </c>
      <c r="E374" s="261">
        <v>0</v>
      </c>
      <c r="F374" s="261">
        <v>0</v>
      </c>
      <c r="G374" s="261">
        <f>+C374+D374-E374+F374</f>
        <v>5000000</v>
      </c>
      <c r="H374" s="261">
        <v>0</v>
      </c>
      <c r="I374" s="261">
        <v>5000000</v>
      </c>
      <c r="J374" s="261">
        <f t="shared" si="163"/>
        <v>0</v>
      </c>
      <c r="K374" s="261">
        <v>0</v>
      </c>
      <c r="L374" s="261">
        <v>8500000</v>
      </c>
      <c r="M374" s="261">
        <f>+I374-L374</f>
        <v>-3500000</v>
      </c>
      <c r="N374" s="261">
        <v>0</v>
      </c>
      <c r="O374" s="261">
        <v>5000000</v>
      </c>
      <c r="P374" s="261">
        <f>+O374-I374</f>
        <v>0</v>
      </c>
      <c r="Q374" s="177">
        <f t="shared" si="164"/>
        <v>0</v>
      </c>
      <c r="R374" s="261">
        <f>+L374</f>
        <v>8500000</v>
      </c>
      <c r="T374" s="185">
        <v>3020101010802</v>
      </c>
      <c r="U374" s="259" t="s">
        <v>601</v>
      </c>
      <c r="V374" s="261">
        <v>5000000</v>
      </c>
      <c r="W374" s="261">
        <v>0</v>
      </c>
      <c r="X374" s="261">
        <v>0</v>
      </c>
      <c r="Y374" s="261">
        <v>0</v>
      </c>
      <c r="Z374" s="261">
        <v>5000000</v>
      </c>
      <c r="AA374" s="261">
        <v>0</v>
      </c>
      <c r="AB374" s="261">
        <v>5000000</v>
      </c>
      <c r="AC374" s="261">
        <v>0</v>
      </c>
      <c r="AD374" s="261">
        <v>0</v>
      </c>
      <c r="AE374" s="261">
        <v>8500000</v>
      </c>
      <c r="AF374" s="261">
        <v>-3500000</v>
      </c>
      <c r="AG374" s="261">
        <v>0</v>
      </c>
      <c r="AH374" s="261">
        <v>5000000</v>
      </c>
      <c r="AI374" s="261">
        <v>0</v>
      </c>
      <c r="AJ374" s="261">
        <v>0</v>
      </c>
      <c r="AK374" s="261">
        <v>0</v>
      </c>
      <c r="AL374" s="261">
        <v>0</v>
      </c>
      <c r="AM374" s="261">
        <v>13500000</v>
      </c>
      <c r="AN374" s="261">
        <v>13500000</v>
      </c>
      <c r="AO374" s="261">
        <v>0</v>
      </c>
      <c r="AP374" s="261">
        <v>1500000</v>
      </c>
      <c r="AQ374" s="261"/>
      <c r="AS374" s="261"/>
    </row>
    <row r="375" spans="1:45" s="1" customFormat="1" x14ac:dyDescent="0.25">
      <c r="A375" s="204">
        <v>3020101010803</v>
      </c>
      <c r="B375" s="259" t="s">
        <v>602</v>
      </c>
      <c r="C375" s="261">
        <v>10000000</v>
      </c>
      <c r="D375" s="261">
        <v>0</v>
      </c>
      <c r="E375" s="261">
        <v>0</v>
      </c>
      <c r="F375" s="261">
        <v>0</v>
      </c>
      <c r="G375" s="261">
        <f>+C375+D375-E375+F375</f>
        <v>10000000</v>
      </c>
      <c r="H375" s="261">
        <v>0</v>
      </c>
      <c r="I375" s="261">
        <v>8500000</v>
      </c>
      <c r="J375" s="261">
        <f t="shared" si="163"/>
        <v>1500000</v>
      </c>
      <c r="K375" s="261">
        <v>0</v>
      </c>
      <c r="L375" s="261">
        <v>5000000</v>
      </c>
      <c r="M375" s="261">
        <f>+I375-L375</f>
        <v>3500000</v>
      </c>
      <c r="N375" s="261">
        <v>0</v>
      </c>
      <c r="O375" s="261">
        <v>8500000</v>
      </c>
      <c r="P375" s="261">
        <f>+O375-I375</f>
        <v>0</v>
      </c>
      <c r="Q375" s="177">
        <f t="shared" si="164"/>
        <v>1500000</v>
      </c>
      <c r="R375" s="261">
        <f>+L375</f>
        <v>5000000</v>
      </c>
      <c r="S375" s="257"/>
      <c r="T375" s="185">
        <v>3020101010803</v>
      </c>
      <c r="U375" s="259" t="s">
        <v>602</v>
      </c>
      <c r="V375" s="261">
        <v>10000000</v>
      </c>
      <c r="W375" s="261">
        <v>0</v>
      </c>
      <c r="X375" s="261">
        <v>0</v>
      </c>
      <c r="Y375" s="261">
        <v>0</v>
      </c>
      <c r="Z375" s="261">
        <v>10000000</v>
      </c>
      <c r="AA375" s="261">
        <v>0</v>
      </c>
      <c r="AB375" s="261">
        <v>8500000</v>
      </c>
      <c r="AC375" s="261">
        <v>1500000</v>
      </c>
      <c r="AD375" s="261">
        <v>0</v>
      </c>
      <c r="AE375" s="261">
        <v>5000000</v>
      </c>
      <c r="AF375" s="261">
        <v>3500000</v>
      </c>
      <c r="AG375" s="261">
        <v>0</v>
      </c>
      <c r="AH375" s="261">
        <v>8500000</v>
      </c>
      <c r="AI375" s="261">
        <v>0</v>
      </c>
      <c r="AJ375" s="261">
        <v>1500000</v>
      </c>
      <c r="AK375" s="261">
        <v>0</v>
      </c>
      <c r="AL375" s="261">
        <v>0</v>
      </c>
      <c r="AM375" s="261">
        <v>5000000</v>
      </c>
      <c r="AN375" s="261">
        <v>5000000</v>
      </c>
      <c r="AO375" s="261">
        <v>0</v>
      </c>
      <c r="AP375" s="261">
        <v>0</v>
      </c>
      <c r="AQ375" s="261"/>
      <c r="AS375" s="261"/>
    </row>
    <row r="376" spans="1:45" x14ac:dyDescent="0.25">
      <c r="A376" s="7">
        <v>30201010109</v>
      </c>
      <c r="B376" s="8" t="s">
        <v>603</v>
      </c>
      <c r="C376" s="9">
        <f>+C377+C378</f>
        <v>70000000</v>
      </c>
      <c r="D376" s="9">
        <f t="shared" ref="D376:R376" si="186">+D377+D378</f>
        <v>0</v>
      </c>
      <c r="E376" s="9">
        <f t="shared" si="186"/>
        <v>0</v>
      </c>
      <c r="F376" s="9">
        <f t="shared" si="186"/>
        <v>0</v>
      </c>
      <c r="G376" s="9">
        <f t="shared" si="186"/>
        <v>70000000</v>
      </c>
      <c r="H376" s="9">
        <f t="shared" si="186"/>
        <v>1500000</v>
      </c>
      <c r="I376" s="9">
        <f t="shared" si="186"/>
        <v>18672600</v>
      </c>
      <c r="J376" s="9">
        <f t="shared" si="163"/>
        <v>51327400</v>
      </c>
      <c r="K376" s="9">
        <f t="shared" si="186"/>
        <v>3172000</v>
      </c>
      <c r="L376" s="9">
        <f t="shared" si="186"/>
        <v>10516000</v>
      </c>
      <c r="M376" s="9">
        <f t="shared" si="186"/>
        <v>8156600</v>
      </c>
      <c r="N376" s="9">
        <f t="shared" si="186"/>
        <v>1500000</v>
      </c>
      <c r="O376" s="9">
        <f t="shared" si="186"/>
        <v>48072600</v>
      </c>
      <c r="P376" s="9">
        <f t="shared" si="186"/>
        <v>29400000</v>
      </c>
      <c r="Q376" s="9">
        <f t="shared" si="164"/>
        <v>21927400</v>
      </c>
      <c r="R376" s="9">
        <f t="shared" si="186"/>
        <v>10516000</v>
      </c>
      <c r="S376" s="1"/>
      <c r="T376" s="185">
        <v>30201010109</v>
      </c>
      <c r="U376" s="259" t="s">
        <v>603</v>
      </c>
      <c r="V376" s="261">
        <v>70000000</v>
      </c>
      <c r="W376" s="261">
        <v>0</v>
      </c>
      <c r="X376" s="261">
        <v>0</v>
      </c>
      <c r="Y376" s="261">
        <v>0</v>
      </c>
      <c r="Z376" s="261">
        <v>70000000</v>
      </c>
      <c r="AA376" s="261">
        <v>750000</v>
      </c>
      <c r="AB376" s="261">
        <v>9336300</v>
      </c>
      <c r="AC376" s="261">
        <v>60663700</v>
      </c>
      <c r="AD376" s="261">
        <v>1586000</v>
      </c>
      <c r="AE376" s="261">
        <v>5258000</v>
      </c>
      <c r="AF376" s="261">
        <v>4078300</v>
      </c>
      <c r="AG376" s="261">
        <v>750000</v>
      </c>
      <c r="AH376" s="261">
        <v>24036300</v>
      </c>
      <c r="AI376" s="261">
        <v>14700000</v>
      </c>
      <c r="AJ376" s="261">
        <v>45963700</v>
      </c>
      <c r="AK376" s="261">
        <v>0</v>
      </c>
      <c r="AL376" s="261">
        <v>0</v>
      </c>
      <c r="AM376" s="261">
        <v>8500000</v>
      </c>
      <c r="AN376" s="261">
        <v>8500000</v>
      </c>
      <c r="AO376" s="261">
        <v>0</v>
      </c>
      <c r="AP376" s="261">
        <v>1500000</v>
      </c>
      <c r="AQ376" s="9"/>
      <c r="AS376" s="9"/>
    </row>
    <row r="377" spans="1:45" s="1" customFormat="1" x14ac:dyDescent="0.25">
      <c r="A377" s="206">
        <v>3020101010902</v>
      </c>
      <c r="B377" s="259" t="s">
        <v>604</v>
      </c>
      <c r="C377" s="261">
        <v>15000000</v>
      </c>
      <c r="D377" s="261">
        <v>0</v>
      </c>
      <c r="E377" s="261">
        <v>0</v>
      </c>
      <c r="F377" s="261">
        <v>0</v>
      </c>
      <c r="G377" s="261">
        <f>+C377+D377-E377+F377</f>
        <v>15000000</v>
      </c>
      <c r="H377" s="261">
        <v>750000</v>
      </c>
      <c r="I377" s="261">
        <v>9336300</v>
      </c>
      <c r="J377" s="261">
        <f t="shared" si="163"/>
        <v>5663700</v>
      </c>
      <c r="K377" s="261">
        <v>1586000</v>
      </c>
      <c r="L377" s="261">
        <v>5258000</v>
      </c>
      <c r="M377" s="261">
        <f t="shared" si="169"/>
        <v>4078300</v>
      </c>
      <c r="N377" s="261">
        <v>750000</v>
      </c>
      <c r="O377" s="261">
        <v>24036300</v>
      </c>
      <c r="P377" s="261">
        <f t="shared" si="167"/>
        <v>14700000</v>
      </c>
      <c r="Q377" s="228">
        <f t="shared" si="164"/>
        <v>-9036300</v>
      </c>
      <c r="R377" s="261">
        <f t="shared" si="168"/>
        <v>5258000</v>
      </c>
      <c r="S377" s="257"/>
      <c r="T377" s="185">
        <v>3020101010902</v>
      </c>
      <c r="U377" s="259" t="s">
        <v>604</v>
      </c>
      <c r="V377" s="261">
        <v>70000000</v>
      </c>
      <c r="W377" s="261">
        <v>0</v>
      </c>
      <c r="X377" s="261">
        <v>0</v>
      </c>
      <c r="Y377" s="261">
        <v>0</v>
      </c>
      <c r="Z377" s="261">
        <v>70000000</v>
      </c>
      <c r="AA377" s="261">
        <v>750000</v>
      </c>
      <c r="AB377" s="261">
        <v>9336300</v>
      </c>
      <c r="AC377" s="261">
        <v>60663700</v>
      </c>
      <c r="AD377" s="261">
        <v>1586000</v>
      </c>
      <c r="AE377" s="261">
        <v>5258000</v>
      </c>
      <c r="AF377" s="261">
        <v>4078300</v>
      </c>
      <c r="AG377" s="261">
        <v>750000</v>
      </c>
      <c r="AH377" s="261">
        <v>24036300</v>
      </c>
      <c r="AI377" s="261">
        <v>14700000</v>
      </c>
      <c r="AJ377" s="261">
        <v>45963700</v>
      </c>
      <c r="AK377" s="261">
        <v>0</v>
      </c>
      <c r="AL377" s="261">
        <v>750000</v>
      </c>
      <c r="AM377" s="261">
        <v>24036300</v>
      </c>
      <c r="AN377" s="261">
        <v>24036300</v>
      </c>
      <c r="AO377" s="261">
        <v>14700000</v>
      </c>
      <c r="AP377" s="261">
        <v>45963700</v>
      </c>
      <c r="AQ377" s="261"/>
      <c r="AS377" s="261"/>
    </row>
    <row r="378" spans="1:45" x14ac:dyDescent="0.25">
      <c r="A378" s="204">
        <v>3020101010903</v>
      </c>
      <c r="B378" s="259" t="s">
        <v>605</v>
      </c>
      <c r="C378" s="261">
        <v>55000000</v>
      </c>
      <c r="D378" s="261">
        <v>0</v>
      </c>
      <c r="E378" s="261">
        <v>0</v>
      </c>
      <c r="F378" s="261">
        <v>0</v>
      </c>
      <c r="G378" s="261">
        <f>+C378+D378-E378+F378</f>
        <v>55000000</v>
      </c>
      <c r="H378" s="261">
        <v>750000</v>
      </c>
      <c r="I378" s="261">
        <v>9336300</v>
      </c>
      <c r="J378" s="261">
        <f t="shared" si="163"/>
        <v>45663700</v>
      </c>
      <c r="K378" s="261">
        <v>1586000</v>
      </c>
      <c r="L378" s="261">
        <v>5258000</v>
      </c>
      <c r="M378" s="261">
        <f t="shared" si="169"/>
        <v>4078300</v>
      </c>
      <c r="N378" s="261">
        <v>750000</v>
      </c>
      <c r="O378" s="261">
        <v>24036300</v>
      </c>
      <c r="P378" s="261">
        <f t="shared" si="167"/>
        <v>14700000</v>
      </c>
      <c r="Q378" s="177">
        <f t="shared" si="164"/>
        <v>30963700</v>
      </c>
      <c r="R378" s="261">
        <f t="shared" si="168"/>
        <v>5258000</v>
      </c>
      <c r="T378" s="185">
        <v>3020101010903</v>
      </c>
      <c r="U378" s="259" t="s">
        <v>605</v>
      </c>
      <c r="V378" s="261">
        <v>55000000</v>
      </c>
      <c r="W378" s="261">
        <v>0</v>
      </c>
      <c r="X378" s="261">
        <v>0</v>
      </c>
      <c r="Y378" s="261">
        <v>0</v>
      </c>
      <c r="Z378" s="261">
        <v>55000000</v>
      </c>
      <c r="AA378" s="261">
        <v>750000</v>
      </c>
      <c r="AB378" s="261">
        <v>9336300</v>
      </c>
      <c r="AC378" s="261">
        <v>45663700</v>
      </c>
      <c r="AD378" s="261">
        <v>1586000</v>
      </c>
      <c r="AE378" s="261">
        <v>5258000</v>
      </c>
      <c r="AF378" s="261">
        <v>4078300</v>
      </c>
      <c r="AG378" s="261">
        <v>750000</v>
      </c>
      <c r="AH378" s="261">
        <v>24036300</v>
      </c>
      <c r="AI378" s="261">
        <v>14700000</v>
      </c>
      <c r="AJ378" s="261">
        <v>30963700</v>
      </c>
      <c r="AK378" s="261">
        <v>0</v>
      </c>
      <c r="AL378" s="261">
        <v>750000</v>
      </c>
      <c r="AM378" s="261">
        <v>24036300</v>
      </c>
      <c r="AN378" s="261">
        <v>24036300</v>
      </c>
      <c r="AO378" s="261">
        <v>14700000</v>
      </c>
      <c r="AP378" s="261">
        <v>45963700</v>
      </c>
      <c r="AQ378" s="261"/>
      <c r="AS378" s="261"/>
    </row>
    <row r="379" spans="1:45" x14ac:dyDescent="0.25">
      <c r="A379" s="7">
        <v>30201010110</v>
      </c>
      <c r="B379" s="8" t="s">
        <v>606</v>
      </c>
      <c r="C379" s="9">
        <f>+C380</f>
        <v>10000000</v>
      </c>
      <c r="D379" s="9">
        <f t="shared" ref="D379:R379" si="187">+D380</f>
        <v>0</v>
      </c>
      <c r="E379" s="9">
        <f t="shared" si="187"/>
        <v>0</v>
      </c>
      <c r="F379" s="9">
        <f t="shared" si="187"/>
        <v>0</v>
      </c>
      <c r="G379" s="9">
        <f t="shared" si="187"/>
        <v>10000000</v>
      </c>
      <c r="H379" s="9">
        <f t="shared" si="187"/>
        <v>0</v>
      </c>
      <c r="I379" s="9">
        <f t="shared" si="187"/>
        <v>0</v>
      </c>
      <c r="J379" s="9">
        <f t="shared" si="163"/>
        <v>10000000</v>
      </c>
      <c r="K379" s="9">
        <f t="shared" si="187"/>
        <v>0</v>
      </c>
      <c r="L379" s="9">
        <f t="shared" si="187"/>
        <v>0</v>
      </c>
      <c r="M379" s="9">
        <f t="shared" si="187"/>
        <v>0</v>
      </c>
      <c r="N379" s="9">
        <f t="shared" si="187"/>
        <v>0</v>
      </c>
      <c r="O379" s="9">
        <f t="shared" si="187"/>
        <v>0</v>
      </c>
      <c r="P379" s="9">
        <f t="shared" si="187"/>
        <v>0</v>
      </c>
      <c r="Q379" s="9">
        <f t="shared" si="164"/>
        <v>10000000</v>
      </c>
      <c r="R379" s="9">
        <f t="shared" si="187"/>
        <v>0</v>
      </c>
      <c r="S379" s="1"/>
      <c r="T379" s="185">
        <v>30201010110</v>
      </c>
      <c r="U379" s="259" t="s">
        <v>606</v>
      </c>
      <c r="V379" s="261">
        <v>10000000</v>
      </c>
      <c r="W379" s="261">
        <v>0</v>
      </c>
      <c r="X379" s="261">
        <v>0</v>
      </c>
      <c r="Y379" s="261">
        <v>0</v>
      </c>
      <c r="Z379" s="261">
        <v>10000000</v>
      </c>
      <c r="AA379" s="261">
        <v>0</v>
      </c>
      <c r="AB379" s="261">
        <v>0</v>
      </c>
      <c r="AC379" s="261">
        <v>10000000</v>
      </c>
      <c r="AD379" s="261">
        <v>0</v>
      </c>
      <c r="AE379" s="261">
        <v>0</v>
      </c>
      <c r="AF379" s="261">
        <v>0</v>
      </c>
      <c r="AG379" s="261">
        <v>0</v>
      </c>
      <c r="AH379" s="261">
        <v>0</v>
      </c>
      <c r="AI379" s="261">
        <v>0</v>
      </c>
      <c r="AJ379" s="261">
        <v>10000000</v>
      </c>
      <c r="AK379" s="261">
        <v>0</v>
      </c>
      <c r="AL379" s="261">
        <v>750000</v>
      </c>
      <c r="AM379" s="261">
        <v>24036300</v>
      </c>
      <c r="AN379" s="261">
        <v>24036300</v>
      </c>
      <c r="AO379" s="261">
        <v>14700000</v>
      </c>
      <c r="AP379" s="261">
        <v>30963700</v>
      </c>
      <c r="AQ379" s="9"/>
      <c r="AS379" s="9"/>
    </row>
    <row r="380" spans="1:45" x14ac:dyDescent="0.25">
      <c r="A380" s="205">
        <v>3020101011001</v>
      </c>
      <c r="B380" s="259" t="s">
        <v>607</v>
      </c>
      <c r="C380" s="261">
        <v>10000000</v>
      </c>
      <c r="D380" s="261">
        <v>0</v>
      </c>
      <c r="E380" s="261">
        <v>0</v>
      </c>
      <c r="F380" s="261">
        <v>0</v>
      </c>
      <c r="G380" s="261">
        <f>+C380+D380-E380+F380</f>
        <v>10000000</v>
      </c>
      <c r="H380" s="261">
        <v>0</v>
      </c>
      <c r="I380" s="261">
        <v>0</v>
      </c>
      <c r="J380" s="261">
        <f t="shared" si="163"/>
        <v>10000000</v>
      </c>
      <c r="K380" s="261">
        <v>0</v>
      </c>
      <c r="L380" s="261">
        <v>0</v>
      </c>
      <c r="M380" s="261">
        <f t="shared" si="169"/>
        <v>0</v>
      </c>
      <c r="N380" s="261">
        <v>0</v>
      </c>
      <c r="O380" s="261">
        <v>0</v>
      </c>
      <c r="P380" s="261">
        <f t="shared" si="167"/>
        <v>0</v>
      </c>
      <c r="Q380" s="177">
        <f t="shared" si="164"/>
        <v>10000000</v>
      </c>
      <c r="R380" s="261">
        <f t="shared" si="168"/>
        <v>0</v>
      </c>
      <c r="T380" s="185">
        <v>3020101011001</v>
      </c>
      <c r="U380" s="259" t="s">
        <v>607</v>
      </c>
      <c r="V380" s="261">
        <v>10000000</v>
      </c>
      <c r="W380" s="261">
        <v>0</v>
      </c>
      <c r="X380" s="261">
        <v>0</v>
      </c>
      <c r="Y380" s="261">
        <v>0</v>
      </c>
      <c r="Z380" s="261">
        <v>10000000</v>
      </c>
      <c r="AA380" s="261">
        <v>0</v>
      </c>
      <c r="AB380" s="261">
        <v>0</v>
      </c>
      <c r="AC380" s="261">
        <v>10000000</v>
      </c>
      <c r="AD380" s="261">
        <v>0</v>
      </c>
      <c r="AE380" s="261">
        <v>0</v>
      </c>
      <c r="AF380" s="261">
        <v>0</v>
      </c>
      <c r="AG380" s="261">
        <v>0</v>
      </c>
      <c r="AH380" s="261">
        <v>0</v>
      </c>
      <c r="AI380" s="261">
        <v>0</v>
      </c>
      <c r="AJ380" s="261">
        <v>10000000</v>
      </c>
      <c r="AK380" s="261">
        <v>0</v>
      </c>
      <c r="AL380" s="261">
        <v>0</v>
      </c>
      <c r="AM380" s="261">
        <v>0</v>
      </c>
      <c r="AN380" s="261">
        <v>0</v>
      </c>
      <c r="AO380" s="261">
        <v>0</v>
      </c>
      <c r="AP380" s="261">
        <v>10000000</v>
      </c>
      <c r="AQ380" s="261"/>
      <c r="AS380" s="261"/>
    </row>
    <row r="381" spans="1:45" s="1" customFormat="1" x14ac:dyDescent="0.25">
      <c r="A381" s="7">
        <v>30201010111</v>
      </c>
      <c r="B381" s="8" t="s">
        <v>608</v>
      </c>
      <c r="C381" s="9">
        <f>+C382+C383+C384</f>
        <v>350000000</v>
      </c>
      <c r="D381" s="9">
        <f t="shared" ref="D381:R381" si="188">+D382+D383+D384</f>
        <v>0</v>
      </c>
      <c r="E381" s="9">
        <f t="shared" si="188"/>
        <v>0</v>
      </c>
      <c r="F381" s="9">
        <f t="shared" si="188"/>
        <v>0</v>
      </c>
      <c r="G381" s="9">
        <f t="shared" si="188"/>
        <v>350000000</v>
      </c>
      <c r="H381" s="9">
        <f t="shared" si="188"/>
        <v>470050</v>
      </c>
      <c r="I381" s="9">
        <f t="shared" si="188"/>
        <v>1994050</v>
      </c>
      <c r="J381" s="9">
        <f t="shared" si="163"/>
        <v>348005950</v>
      </c>
      <c r="K381" s="9">
        <f t="shared" si="188"/>
        <v>0</v>
      </c>
      <c r="L381" s="9">
        <f t="shared" si="188"/>
        <v>24000</v>
      </c>
      <c r="M381" s="9">
        <f t="shared" si="188"/>
        <v>1970050</v>
      </c>
      <c r="N381" s="9">
        <f t="shared" si="188"/>
        <v>1500000</v>
      </c>
      <c r="O381" s="9">
        <f t="shared" si="188"/>
        <v>283497620</v>
      </c>
      <c r="P381" s="9">
        <f t="shared" si="188"/>
        <v>281503570</v>
      </c>
      <c r="Q381" s="9">
        <f t="shared" si="164"/>
        <v>66502380</v>
      </c>
      <c r="R381" s="9">
        <f t="shared" si="188"/>
        <v>24000</v>
      </c>
      <c r="T381" s="185">
        <v>30201010111</v>
      </c>
      <c r="U381" s="259" t="s">
        <v>608</v>
      </c>
      <c r="V381" s="261">
        <v>350000000</v>
      </c>
      <c r="W381" s="261">
        <v>0</v>
      </c>
      <c r="X381" s="261">
        <v>0</v>
      </c>
      <c r="Y381" s="261">
        <v>0</v>
      </c>
      <c r="Z381" s="261">
        <v>350000000</v>
      </c>
      <c r="AA381" s="261">
        <v>470050</v>
      </c>
      <c r="AB381" s="261">
        <v>1994050</v>
      </c>
      <c r="AC381" s="261">
        <v>348005950</v>
      </c>
      <c r="AD381" s="261">
        <v>0</v>
      </c>
      <c r="AE381" s="261">
        <v>24000</v>
      </c>
      <c r="AF381" s="261">
        <v>1970050</v>
      </c>
      <c r="AG381" s="261">
        <v>1500000</v>
      </c>
      <c r="AH381" s="261">
        <v>283497620</v>
      </c>
      <c r="AI381" s="261">
        <v>281503570</v>
      </c>
      <c r="AJ381" s="261">
        <v>66502380</v>
      </c>
      <c r="AK381" s="261">
        <v>0</v>
      </c>
      <c r="AL381" s="261">
        <v>0</v>
      </c>
      <c r="AM381" s="261">
        <v>0</v>
      </c>
      <c r="AN381" s="261">
        <v>0</v>
      </c>
      <c r="AO381" s="261">
        <v>0</v>
      </c>
      <c r="AP381" s="261">
        <v>10000000</v>
      </c>
      <c r="AQ381" s="9"/>
      <c r="AS381" s="9"/>
    </row>
    <row r="382" spans="1:45" x14ac:dyDescent="0.25">
      <c r="A382" s="205">
        <v>3020101011101</v>
      </c>
      <c r="B382" s="259" t="s">
        <v>609</v>
      </c>
      <c r="C382" s="261">
        <v>65000000</v>
      </c>
      <c r="D382" s="261">
        <v>0</v>
      </c>
      <c r="E382" s="261">
        <v>0</v>
      </c>
      <c r="F382" s="261">
        <v>0</v>
      </c>
      <c r="G382" s="261">
        <f>+C382+D382-E382+F382</f>
        <v>65000000</v>
      </c>
      <c r="H382" s="261">
        <v>0</v>
      </c>
      <c r="I382" s="261">
        <v>0</v>
      </c>
      <c r="J382" s="261">
        <f t="shared" si="163"/>
        <v>65000000</v>
      </c>
      <c r="K382" s="261">
        <v>0</v>
      </c>
      <c r="L382" s="261">
        <v>0</v>
      </c>
      <c r="M382" s="261">
        <f t="shared" si="169"/>
        <v>0</v>
      </c>
      <c r="N382" s="261">
        <v>0</v>
      </c>
      <c r="O382" s="261">
        <v>0</v>
      </c>
      <c r="P382" s="261">
        <f t="shared" si="167"/>
        <v>0</v>
      </c>
      <c r="Q382" s="177">
        <f t="shared" si="164"/>
        <v>65000000</v>
      </c>
      <c r="R382" s="261">
        <f t="shared" si="168"/>
        <v>0</v>
      </c>
      <c r="T382" s="185">
        <v>3020101011101</v>
      </c>
      <c r="U382" s="259" t="s">
        <v>609</v>
      </c>
      <c r="V382" s="261">
        <v>65000000</v>
      </c>
      <c r="W382" s="261">
        <v>0</v>
      </c>
      <c r="X382" s="261">
        <v>0</v>
      </c>
      <c r="Y382" s="261">
        <v>0</v>
      </c>
      <c r="Z382" s="261">
        <v>65000000</v>
      </c>
      <c r="AA382" s="261">
        <v>0</v>
      </c>
      <c r="AB382" s="261">
        <v>0</v>
      </c>
      <c r="AC382" s="261">
        <v>65000000</v>
      </c>
      <c r="AD382" s="261">
        <v>0</v>
      </c>
      <c r="AE382" s="261">
        <v>0</v>
      </c>
      <c r="AF382" s="261">
        <v>0</v>
      </c>
      <c r="AG382" s="261">
        <v>0</v>
      </c>
      <c r="AH382" s="261">
        <v>0</v>
      </c>
      <c r="AI382" s="261">
        <v>0</v>
      </c>
      <c r="AJ382" s="261">
        <v>65000000</v>
      </c>
      <c r="AK382" s="261">
        <v>0</v>
      </c>
      <c r="AL382" s="261">
        <v>1500000</v>
      </c>
      <c r="AM382" s="261">
        <v>283497620</v>
      </c>
      <c r="AN382" s="261">
        <v>283497620</v>
      </c>
      <c r="AO382" s="261">
        <v>281503570</v>
      </c>
      <c r="AP382" s="261">
        <v>127066257</v>
      </c>
      <c r="AQ382" s="261"/>
      <c r="AS382" s="261"/>
    </row>
    <row r="383" spans="1:45" x14ac:dyDescent="0.25">
      <c r="A383" s="206">
        <v>3020101011102</v>
      </c>
      <c r="B383" s="259" t="s">
        <v>610</v>
      </c>
      <c r="C383" s="261">
        <v>110000000</v>
      </c>
      <c r="D383" s="261">
        <v>0</v>
      </c>
      <c r="E383" s="261">
        <v>0</v>
      </c>
      <c r="F383" s="261">
        <v>0</v>
      </c>
      <c r="G383" s="261">
        <f>+C383+D383-E383+F383</f>
        <v>110000000</v>
      </c>
      <c r="H383" s="261">
        <v>470050</v>
      </c>
      <c r="I383" s="261">
        <v>1994050</v>
      </c>
      <c r="J383" s="261">
        <f t="shared" si="163"/>
        <v>108005950</v>
      </c>
      <c r="K383" s="261">
        <v>0</v>
      </c>
      <c r="L383" s="261">
        <v>24000</v>
      </c>
      <c r="M383" s="261">
        <f t="shared" si="169"/>
        <v>1970050</v>
      </c>
      <c r="N383" s="261">
        <v>1500000</v>
      </c>
      <c r="O383" s="261">
        <v>108497620</v>
      </c>
      <c r="P383" s="261">
        <f t="shared" si="167"/>
        <v>106503570</v>
      </c>
      <c r="Q383" s="177">
        <f t="shared" si="164"/>
        <v>1502380</v>
      </c>
      <c r="R383" s="261">
        <f t="shared" si="168"/>
        <v>24000</v>
      </c>
      <c r="T383" s="185">
        <v>3020101011102</v>
      </c>
      <c r="U383" s="259" t="s">
        <v>610</v>
      </c>
      <c r="V383" s="261">
        <v>110000000</v>
      </c>
      <c r="W383" s="261">
        <v>0</v>
      </c>
      <c r="X383" s="261">
        <v>0</v>
      </c>
      <c r="Y383" s="261">
        <v>0</v>
      </c>
      <c r="Z383" s="261">
        <v>110000000</v>
      </c>
      <c r="AA383" s="261">
        <v>470050</v>
      </c>
      <c r="AB383" s="261">
        <v>1994050</v>
      </c>
      <c r="AC383" s="261">
        <v>108005950</v>
      </c>
      <c r="AD383" s="261">
        <v>0</v>
      </c>
      <c r="AE383" s="261">
        <v>24000</v>
      </c>
      <c r="AF383" s="261">
        <v>1970050</v>
      </c>
      <c r="AG383" s="261">
        <v>1500000</v>
      </c>
      <c r="AH383" s="261">
        <v>108497620</v>
      </c>
      <c r="AI383" s="261">
        <v>106503570</v>
      </c>
      <c r="AJ383" s="261">
        <v>1502380</v>
      </c>
      <c r="AK383" s="261">
        <v>0</v>
      </c>
      <c r="AL383" s="261">
        <v>0</v>
      </c>
      <c r="AM383" s="261">
        <v>0</v>
      </c>
      <c r="AN383" s="261">
        <v>0</v>
      </c>
      <c r="AO383" s="261">
        <v>0</v>
      </c>
      <c r="AP383" s="261">
        <v>65000000</v>
      </c>
      <c r="AQ383" s="261"/>
      <c r="AS383" s="261"/>
    </row>
    <row r="384" spans="1:45" x14ac:dyDescent="0.25">
      <c r="A384" s="204">
        <v>3020101011103</v>
      </c>
      <c r="B384" s="259" t="s">
        <v>611</v>
      </c>
      <c r="C384" s="261">
        <v>175000000</v>
      </c>
      <c r="D384" s="261">
        <v>0</v>
      </c>
      <c r="E384" s="261">
        <v>0</v>
      </c>
      <c r="F384" s="261">
        <v>0</v>
      </c>
      <c r="G384" s="261">
        <f>+C384+D384-E384+F384</f>
        <v>175000000</v>
      </c>
      <c r="H384" s="261">
        <v>0</v>
      </c>
      <c r="I384" s="261">
        <v>0</v>
      </c>
      <c r="J384" s="261">
        <f t="shared" si="163"/>
        <v>175000000</v>
      </c>
      <c r="K384" s="261">
        <v>0</v>
      </c>
      <c r="L384" s="261">
        <v>0</v>
      </c>
      <c r="M384" s="261">
        <f t="shared" si="169"/>
        <v>0</v>
      </c>
      <c r="N384" s="261">
        <v>0</v>
      </c>
      <c r="O384" s="261">
        <v>175000000</v>
      </c>
      <c r="P384" s="261">
        <f t="shared" si="167"/>
        <v>175000000</v>
      </c>
      <c r="Q384" s="177">
        <f t="shared" si="164"/>
        <v>0</v>
      </c>
      <c r="R384" s="261">
        <f t="shared" si="168"/>
        <v>0</v>
      </c>
      <c r="T384" s="185">
        <v>3020101011103</v>
      </c>
      <c r="U384" s="259" t="s">
        <v>611</v>
      </c>
      <c r="V384" s="261">
        <v>175000000</v>
      </c>
      <c r="W384" s="261">
        <v>0</v>
      </c>
      <c r="X384" s="261">
        <v>0</v>
      </c>
      <c r="Y384" s="261">
        <v>0</v>
      </c>
      <c r="Z384" s="261">
        <v>175000000</v>
      </c>
      <c r="AA384" s="261">
        <v>0</v>
      </c>
      <c r="AB384" s="261">
        <v>0</v>
      </c>
      <c r="AC384" s="261">
        <v>175000000</v>
      </c>
      <c r="AD384" s="261">
        <v>0</v>
      </c>
      <c r="AE384" s="261">
        <v>0</v>
      </c>
      <c r="AF384" s="261">
        <v>0</v>
      </c>
      <c r="AG384" s="261">
        <v>0</v>
      </c>
      <c r="AH384" s="261">
        <v>175000000</v>
      </c>
      <c r="AI384" s="261">
        <v>175000000</v>
      </c>
      <c r="AJ384" s="261">
        <v>0</v>
      </c>
      <c r="AK384" s="261">
        <v>0</v>
      </c>
      <c r="AL384" s="261">
        <v>1500000</v>
      </c>
      <c r="AM384" s="261">
        <v>108497620</v>
      </c>
      <c r="AN384" s="261">
        <v>108497620</v>
      </c>
      <c r="AO384" s="261">
        <v>106503570</v>
      </c>
      <c r="AP384" s="261">
        <v>1502380</v>
      </c>
      <c r="AQ384" s="261"/>
      <c r="AS384" s="261"/>
    </row>
    <row r="385" spans="1:45" s="1" customFormat="1" x14ac:dyDescent="0.25">
      <c r="A385" s="7">
        <v>30201010112</v>
      </c>
      <c r="B385" s="8" t="s">
        <v>612</v>
      </c>
      <c r="C385" s="9">
        <f>+C386+C387</f>
        <v>20000000</v>
      </c>
      <c r="D385" s="9">
        <f t="shared" ref="D385:R385" si="189">+D386+D387</f>
        <v>0</v>
      </c>
      <c r="E385" s="9">
        <f t="shared" si="189"/>
        <v>0</v>
      </c>
      <c r="F385" s="9">
        <f t="shared" si="189"/>
        <v>0</v>
      </c>
      <c r="G385" s="9">
        <f t="shared" si="189"/>
        <v>20000000</v>
      </c>
      <c r="H385" s="9">
        <f t="shared" si="189"/>
        <v>0</v>
      </c>
      <c r="I385" s="9">
        <f t="shared" si="189"/>
        <v>2200000</v>
      </c>
      <c r="J385" s="9">
        <f t="shared" si="163"/>
        <v>17800000</v>
      </c>
      <c r="K385" s="9">
        <f t="shared" si="189"/>
        <v>0</v>
      </c>
      <c r="L385" s="9">
        <f t="shared" si="189"/>
        <v>700000</v>
      </c>
      <c r="M385" s="9">
        <f t="shared" si="189"/>
        <v>1500000</v>
      </c>
      <c r="N385" s="9">
        <f t="shared" si="189"/>
        <v>1500000</v>
      </c>
      <c r="O385" s="9">
        <f t="shared" si="189"/>
        <v>4700000</v>
      </c>
      <c r="P385" s="9">
        <f t="shared" si="189"/>
        <v>2500000</v>
      </c>
      <c r="Q385" s="9">
        <f t="shared" si="164"/>
        <v>15300000</v>
      </c>
      <c r="R385" s="9">
        <f t="shared" si="189"/>
        <v>700000</v>
      </c>
      <c r="T385" s="185">
        <v>30201010112</v>
      </c>
      <c r="U385" s="259" t="s">
        <v>612</v>
      </c>
      <c r="V385" s="261">
        <v>20000000</v>
      </c>
      <c r="W385" s="261">
        <v>0</v>
      </c>
      <c r="X385" s="261">
        <v>0</v>
      </c>
      <c r="Y385" s="261">
        <v>0</v>
      </c>
      <c r="Z385" s="261">
        <v>20000000</v>
      </c>
      <c r="AA385" s="261">
        <v>0</v>
      </c>
      <c r="AB385" s="261">
        <v>2200000</v>
      </c>
      <c r="AC385" s="261">
        <v>17800000</v>
      </c>
      <c r="AD385" s="261">
        <v>0</v>
      </c>
      <c r="AE385" s="261">
        <v>700000</v>
      </c>
      <c r="AF385" s="261">
        <v>1500000</v>
      </c>
      <c r="AG385" s="261">
        <v>1500000</v>
      </c>
      <c r="AH385" s="261">
        <v>4700000</v>
      </c>
      <c r="AI385" s="261">
        <v>2500000</v>
      </c>
      <c r="AJ385" s="261">
        <v>15300000</v>
      </c>
      <c r="AK385" s="261">
        <v>0</v>
      </c>
      <c r="AL385" s="261">
        <v>0</v>
      </c>
      <c r="AM385" s="261">
        <v>175000000</v>
      </c>
      <c r="AN385" s="261">
        <v>175000000</v>
      </c>
      <c r="AO385" s="261">
        <v>175000000</v>
      </c>
      <c r="AP385" s="261">
        <v>60563877</v>
      </c>
      <c r="AQ385" s="9"/>
      <c r="AS385" s="9"/>
    </row>
    <row r="386" spans="1:45" s="1" customFormat="1" x14ac:dyDescent="0.25">
      <c r="A386" s="205">
        <v>3020101011201</v>
      </c>
      <c r="B386" s="259" t="s">
        <v>613</v>
      </c>
      <c r="C386" s="261">
        <v>15000000</v>
      </c>
      <c r="D386" s="261">
        <v>0</v>
      </c>
      <c r="E386" s="261">
        <v>0</v>
      </c>
      <c r="F386" s="261">
        <v>0</v>
      </c>
      <c r="G386" s="261">
        <f>+C386+D386-E386+F386</f>
        <v>15000000</v>
      </c>
      <c r="H386" s="261">
        <v>0</v>
      </c>
      <c r="I386" s="261">
        <v>0</v>
      </c>
      <c r="J386" s="261">
        <f t="shared" si="163"/>
        <v>15000000</v>
      </c>
      <c r="K386" s="261">
        <v>0</v>
      </c>
      <c r="L386" s="261">
        <v>0</v>
      </c>
      <c r="M386" s="261">
        <f t="shared" si="169"/>
        <v>0</v>
      </c>
      <c r="N386" s="261">
        <v>0</v>
      </c>
      <c r="O386" s="261">
        <v>0</v>
      </c>
      <c r="P386" s="261">
        <f t="shared" si="167"/>
        <v>0</v>
      </c>
      <c r="Q386" s="177">
        <f t="shared" si="164"/>
        <v>15000000</v>
      </c>
      <c r="R386" s="261">
        <f t="shared" si="168"/>
        <v>0</v>
      </c>
      <c r="S386" s="257"/>
      <c r="T386" s="185">
        <v>3020101011201</v>
      </c>
      <c r="U386" s="259" t="s">
        <v>613</v>
      </c>
      <c r="V386" s="261">
        <v>15000000</v>
      </c>
      <c r="W386" s="261">
        <v>0</v>
      </c>
      <c r="X386" s="261">
        <v>0</v>
      </c>
      <c r="Y386" s="261">
        <v>0</v>
      </c>
      <c r="Z386" s="261">
        <v>15000000</v>
      </c>
      <c r="AA386" s="261">
        <v>0</v>
      </c>
      <c r="AB386" s="261">
        <v>0</v>
      </c>
      <c r="AC386" s="261">
        <v>15000000</v>
      </c>
      <c r="AD386" s="261">
        <v>0</v>
      </c>
      <c r="AE386" s="261">
        <v>0</v>
      </c>
      <c r="AF386" s="261">
        <v>0</v>
      </c>
      <c r="AG386" s="261">
        <v>0</v>
      </c>
      <c r="AH386" s="261">
        <v>0</v>
      </c>
      <c r="AI386" s="261">
        <v>0</v>
      </c>
      <c r="AJ386" s="261">
        <v>15000000</v>
      </c>
      <c r="AK386" s="261">
        <v>0</v>
      </c>
      <c r="AL386" s="261">
        <v>1500000</v>
      </c>
      <c r="AM386" s="261">
        <v>4700000</v>
      </c>
      <c r="AN386" s="261">
        <v>4700000</v>
      </c>
      <c r="AO386" s="261">
        <v>2500000</v>
      </c>
      <c r="AP386" s="261">
        <v>15300000</v>
      </c>
      <c r="AQ386" s="261"/>
      <c r="AS386" s="261"/>
    </row>
    <row r="387" spans="1:45" x14ac:dyDescent="0.25">
      <c r="A387" s="204">
        <v>3020101011203</v>
      </c>
      <c r="B387" s="259" t="s">
        <v>614</v>
      </c>
      <c r="C387" s="261">
        <v>5000000</v>
      </c>
      <c r="D387" s="261">
        <v>0</v>
      </c>
      <c r="E387" s="261">
        <v>0</v>
      </c>
      <c r="F387" s="261">
        <v>0</v>
      </c>
      <c r="G387" s="261">
        <f>+C387+D387-E387+F387</f>
        <v>5000000</v>
      </c>
      <c r="H387" s="261">
        <v>0</v>
      </c>
      <c r="I387" s="261">
        <v>2200000</v>
      </c>
      <c r="J387" s="261">
        <f t="shared" si="163"/>
        <v>2800000</v>
      </c>
      <c r="K387" s="261">
        <v>0</v>
      </c>
      <c r="L387" s="261">
        <v>700000</v>
      </c>
      <c r="M387" s="261">
        <f t="shared" si="169"/>
        <v>1500000</v>
      </c>
      <c r="N387" s="261">
        <v>1500000</v>
      </c>
      <c r="O387" s="261">
        <v>4700000</v>
      </c>
      <c r="P387" s="261">
        <f t="shared" si="167"/>
        <v>2500000</v>
      </c>
      <c r="Q387" s="177">
        <f t="shared" si="164"/>
        <v>300000</v>
      </c>
      <c r="R387" s="261">
        <f t="shared" si="168"/>
        <v>700000</v>
      </c>
      <c r="T387" s="185">
        <v>3020101011203</v>
      </c>
      <c r="U387" s="259" t="s">
        <v>614</v>
      </c>
      <c r="V387" s="261">
        <v>5000000</v>
      </c>
      <c r="W387" s="261">
        <v>0</v>
      </c>
      <c r="X387" s="261">
        <v>0</v>
      </c>
      <c r="Y387" s="261">
        <v>0</v>
      </c>
      <c r="Z387" s="261">
        <v>5000000</v>
      </c>
      <c r="AA387" s="261">
        <v>0</v>
      </c>
      <c r="AB387" s="261">
        <v>2200000</v>
      </c>
      <c r="AC387" s="261">
        <v>2800000</v>
      </c>
      <c r="AD387" s="261">
        <v>0</v>
      </c>
      <c r="AE387" s="261">
        <v>700000</v>
      </c>
      <c r="AF387" s="261">
        <v>1500000</v>
      </c>
      <c r="AG387" s="261">
        <v>1500000</v>
      </c>
      <c r="AH387" s="261">
        <v>4700000</v>
      </c>
      <c r="AI387" s="261">
        <v>2500000</v>
      </c>
      <c r="AJ387" s="261">
        <v>300000</v>
      </c>
      <c r="AK387" s="261">
        <v>0</v>
      </c>
      <c r="AL387" s="261">
        <v>0</v>
      </c>
      <c r="AM387" s="261">
        <v>0</v>
      </c>
      <c r="AN387" s="261">
        <v>0</v>
      </c>
      <c r="AO387" s="261">
        <v>0</v>
      </c>
      <c r="AP387" s="261">
        <v>15000000</v>
      </c>
      <c r="AQ387" s="261"/>
      <c r="AS387" s="261"/>
    </row>
    <row r="388" spans="1:45" x14ac:dyDescent="0.25">
      <c r="A388" s="204">
        <v>30201010113</v>
      </c>
      <c r="B388" s="259" t="s">
        <v>615</v>
      </c>
      <c r="C388" s="261">
        <v>500000000</v>
      </c>
      <c r="D388" s="261">
        <v>0</v>
      </c>
      <c r="E388" s="261">
        <v>0</v>
      </c>
      <c r="F388" s="261">
        <v>0</v>
      </c>
      <c r="G388" s="261">
        <f>+C388+D388-E388+F388</f>
        <v>500000000</v>
      </c>
      <c r="H388" s="261">
        <v>29590145</v>
      </c>
      <c r="I388" s="261">
        <v>466534211</v>
      </c>
      <c r="J388" s="261">
        <f t="shared" si="163"/>
        <v>33465789</v>
      </c>
      <c r="K388" s="261">
        <v>158590145</v>
      </c>
      <c r="L388" s="261">
        <v>460909211</v>
      </c>
      <c r="M388" s="261">
        <f t="shared" si="169"/>
        <v>5625000</v>
      </c>
      <c r="N388" s="261">
        <v>29590145</v>
      </c>
      <c r="O388" s="261">
        <v>466534211</v>
      </c>
      <c r="P388" s="261">
        <f t="shared" si="167"/>
        <v>0</v>
      </c>
      <c r="Q388" s="177">
        <f t="shared" si="164"/>
        <v>33465789</v>
      </c>
      <c r="R388" s="261">
        <f t="shared" si="168"/>
        <v>460909211</v>
      </c>
      <c r="T388" s="185">
        <v>30201010113</v>
      </c>
      <c r="U388" s="259" t="s">
        <v>615</v>
      </c>
      <c r="V388" s="261">
        <v>500000000</v>
      </c>
      <c r="W388" s="261">
        <v>0</v>
      </c>
      <c r="X388" s="261">
        <v>0</v>
      </c>
      <c r="Y388" s="261">
        <v>0</v>
      </c>
      <c r="Z388" s="261">
        <v>500000000</v>
      </c>
      <c r="AA388" s="261">
        <v>29590145</v>
      </c>
      <c r="AB388" s="261">
        <v>466534211</v>
      </c>
      <c r="AC388" s="261">
        <v>33465789</v>
      </c>
      <c r="AD388" s="261">
        <v>158590145</v>
      </c>
      <c r="AE388" s="261">
        <v>460909211</v>
      </c>
      <c r="AF388" s="261">
        <v>5625000</v>
      </c>
      <c r="AG388" s="261">
        <v>29590145</v>
      </c>
      <c r="AH388" s="261">
        <v>466534211</v>
      </c>
      <c r="AI388" s="261">
        <v>0</v>
      </c>
      <c r="AJ388" s="261">
        <v>33465789</v>
      </c>
      <c r="AK388" s="261">
        <v>0</v>
      </c>
      <c r="AL388" s="261">
        <v>1500000</v>
      </c>
      <c r="AM388" s="261">
        <v>4700000</v>
      </c>
      <c r="AN388" s="261">
        <v>4700000</v>
      </c>
      <c r="AO388" s="261">
        <v>2500000</v>
      </c>
      <c r="AP388" s="261">
        <v>300000</v>
      </c>
      <c r="AQ388" s="261"/>
      <c r="AS388" s="261"/>
    </row>
    <row r="389" spans="1:45" s="1" customFormat="1" x14ac:dyDescent="0.25">
      <c r="A389" s="7">
        <v>3020102</v>
      </c>
      <c r="B389" s="8" t="s">
        <v>616</v>
      </c>
      <c r="C389" s="9">
        <f>+C390+C393+C396</f>
        <v>340000000</v>
      </c>
      <c r="D389" s="9">
        <f t="shared" ref="D389:R389" si="190">+D390+D393+D396</f>
        <v>150000000</v>
      </c>
      <c r="E389" s="9">
        <f t="shared" si="190"/>
        <v>0</v>
      </c>
      <c r="F389" s="9">
        <f t="shared" si="190"/>
        <v>0</v>
      </c>
      <c r="G389" s="9">
        <f t="shared" si="190"/>
        <v>490000000</v>
      </c>
      <c r="H389" s="9">
        <f t="shared" si="190"/>
        <v>0</v>
      </c>
      <c r="I389" s="9">
        <f t="shared" si="190"/>
        <v>168453610</v>
      </c>
      <c r="J389" s="9">
        <f t="shared" si="163"/>
        <v>321546390</v>
      </c>
      <c r="K389" s="9">
        <f t="shared" si="190"/>
        <v>2450000</v>
      </c>
      <c r="L389" s="9">
        <f t="shared" si="190"/>
        <v>150880000</v>
      </c>
      <c r="M389" s="9">
        <f t="shared" si="190"/>
        <v>17573610</v>
      </c>
      <c r="N389" s="9">
        <f t="shared" si="190"/>
        <v>240424620</v>
      </c>
      <c r="O389" s="9">
        <f t="shared" si="190"/>
        <v>412020880</v>
      </c>
      <c r="P389" s="9">
        <f t="shared" si="190"/>
        <v>243567270</v>
      </c>
      <c r="Q389" s="9">
        <f t="shared" si="164"/>
        <v>77979120</v>
      </c>
      <c r="R389" s="9">
        <f t="shared" si="190"/>
        <v>150880000</v>
      </c>
      <c r="T389" s="185">
        <v>3020102</v>
      </c>
      <c r="U389" s="259" t="s">
        <v>616</v>
      </c>
      <c r="V389" s="261">
        <v>340000000</v>
      </c>
      <c r="W389" s="261">
        <v>150000000</v>
      </c>
      <c r="X389" s="261">
        <v>0</v>
      </c>
      <c r="Y389" s="261">
        <v>0</v>
      </c>
      <c r="Z389" s="261">
        <v>490000000</v>
      </c>
      <c r="AA389" s="261">
        <v>0</v>
      </c>
      <c r="AB389" s="261">
        <v>168453610</v>
      </c>
      <c r="AC389" s="261">
        <v>321546390</v>
      </c>
      <c r="AD389" s="261">
        <v>2450000</v>
      </c>
      <c r="AE389" s="261">
        <v>150880000</v>
      </c>
      <c r="AF389" s="261">
        <v>19425810</v>
      </c>
      <c r="AG389" s="261">
        <v>240424620</v>
      </c>
      <c r="AH389" s="261">
        <v>412020880</v>
      </c>
      <c r="AI389" s="261">
        <v>243567270</v>
      </c>
      <c r="AJ389" s="261">
        <v>77979120</v>
      </c>
      <c r="AK389" s="261">
        <v>0</v>
      </c>
      <c r="AL389" s="261">
        <v>10500000</v>
      </c>
      <c r="AM389" s="261">
        <v>447444066</v>
      </c>
      <c r="AN389" s="261">
        <v>447444066</v>
      </c>
      <c r="AO389" s="261">
        <v>8000000</v>
      </c>
      <c r="AP389" s="261">
        <v>52555934</v>
      </c>
      <c r="AQ389" s="9"/>
      <c r="AS389" s="9"/>
    </row>
    <row r="390" spans="1:45" x14ac:dyDescent="0.25">
      <c r="A390" s="7">
        <v>302010201</v>
      </c>
      <c r="B390" s="8" t="s">
        <v>617</v>
      </c>
      <c r="C390" s="9">
        <f>+C391+C392</f>
        <v>280000000</v>
      </c>
      <c r="D390" s="9">
        <f t="shared" ref="D390:R390" si="191">+D391+D392</f>
        <v>150000000</v>
      </c>
      <c r="E390" s="9">
        <f t="shared" si="191"/>
        <v>0</v>
      </c>
      <c r="F390" s="9">
        <f t="shared" si="191"/>
        <v>0</v>
      </c>
      <c r="G390" s="9">
        <f t="shared" si="191"/>
        <v>430000000</v>
      </c>
      <c r="H390" s="9">
        <f t="shared" si="191"/>
        <v>0</v>
      </c>
      <c r="I390" s="9">
        <f t="shared" si="191"/>
        <v>163985450</v>
      </c>
      <c r="J390" s="9">
        <f t="shared" si="163"/>
        <v>266014550</v>
      </c>
      <c r="K390" s="9">
        <f t="shared" si="191"/>
        <v>2450000</v>
      </c>
      <c r="L390" s="9">
        <f t="shared" si="191"/>
        <v>146411840</v>
      </c>
      <c r="M390" s="9">
        <f t="shared" si="191"/>
        <v>17573610</v>
      </c>
      <c r="N390" s="9">
        <f t="shared" si="191"/>
        <v>238403740</v>
      </c>
      <c r="O390" s="9">
        <f t="shared" si="191"/>
        <v>400000000</v>
      </c>
      <c r="P390" s="9">
        <f t="shared" si="191"/>
        <v>236014550</v>
      </c>
      <c r="Q390" s="9">
        <f t="shared" si="164"/>
        <v>30000000</v>
      </c>
      <c r="R390" s="9">
        <f t="shared" si="191"/>
        <v>146411840</v>
      </c>
      <c r="S390" s="1"/>
      <c r="T390" s="185">
        <v>302010201</v>
      </c>
      <c r="U390" s="259" t="s">
        <v>617</v>
      </c>
      <c r="V390" s="261">
        <v>280000000</v>
      </c>
      <c r="W390" s="261">
        <v>150000000</v>
      </c>
      <c r="X390" s="261">
        <v>0</v>
      </c>
      <c r="Y390" s="261">
        <v>0</v>
      </c>
      <c r="Z390" s="261">
        <v>430000000</v>
      </c>
      <c r="AA390" s="261">
        <v>0</v>
      </c>
      <c r="AB390" s="261">
        <v>163985450</v>
      </c>
      <c r="AC390" s="261">
        <v>266014550</v>
      </c>
      <c r="AD390" s="261">
        <v>2450000</v>
      </c>
      <c r="AE390" s="261">
        <v>146411840</v>
      </c>
      <c r="AF390" s="261">
        <v>19425810</v>
      </c>
      <c r="AG390" s="261">
        <v>238403740</v>
      </c>
      <c r="AH390" s="261">
        <v>400000000</v>
      </c>
      <c r="AI390" s="261">
        <v>236014550</v>
      </c>
      <c r="AJ390" s="261">
        <v>30000000</v>
      </c>
      <c r="AK390" s="261">
        <v>88403740</v>
      </c>
      <c r="AL390" s="261">
        <v>240424620</v>
      </c>
      <c r="AM390" s="261">
        <v>500424620</v>
      </c>
      <c r="AN390" s="261">
        <v>412020880</v>
      </c>
      <c r="AO390" s="261">
        <v>245956460</v>
      </c>
      <c r="AP390" s="261">
        <v>77979120</v>
      </c>
      <c r="AQ390" s="9"/>
      <c r="AS390" s="9"/>
    </row>
    <row r="391" spans="1:45" x14ac:dyDescent="0.25">
      <c r="A391" s="205">
        <v>30201020101</v>
      </c>
      <c r="B391" s="259" t="s">
        <v>618</v>
      </c>
      <c r="C391" s="261">
        <v>30000000</v>
      </c>
      <c r="D391" s="261">
        <v>0</v>
      </c>
      <c r="E391" s="261">
        <v>0</v>
      </c>
      <c r="F391" s="261">
        <v>0</v>
      </c>
      <c r="G391" s="261">
        <f>+C391+D391-E391+F391</f>
        <v>30000000</v>
      </c>
      <c r="H391" s="261">
        <v>0</v>
      </c>
      <c r="I391" s="261">
        <v>0</v>
      </c>
      <c r="J391" s="261">
        <f t="shared" si="163"/>
        <v>30000000</v>
      </c>
      <c r="K391" s="261">
        <v>0</v>
      </c>
      <c r="L391" s="261">
        <v>0</v>
      </c>
      <c r="M391" s="261">
        <f t="shared" si="169"/>
        <v>0</v>
      </c>
      <c r="N391" s="261">
        <v>0</v>
      </c>
      <c r="O391" s="261">
        <v>0</v>
      </c>
      <c r="P391" s="261">
        <f t="shared" si="167"/>
        <v>0</v>
      </c>
      <c r="Q391" s="177">
        <f t="shared" si="164"/>
        <v>30000000</v>
      </c>
      <c r="R391" s="261">
        <f t="shared" si="168"/>
        <v>0</v>
      </c>
      <c r="T391" s="185">
        <v>30201020101</v>
      </c>
      <c r="U391" s="259" t="s">
        <v>618</v>
      </c>
      <c r="V391" s="261">
        <v>30000000</v>
      </c>
      <c r="W391" s="261">
        <v>0</v>
      </c>
      <c r="X391" s="261">
        <v>0</v>
      </c>
      <c r="Y391" s="261">
        <v>0</v>
      </c>
      <c r="Z391" s="261">
        <v>30000000</v>
      </c>
      <c r="AA391" s="261">
        <v>0</v>
      </c>
      <c r="AB391" s="261">
        <v>0</v>
      </c>
      <c r="AC391" s="261">
        <v>30000000</v>
      </c>
      <c r="AD391" s="261">
        <v>0</v>
      </c>
      <c r="AE391" s="261">
        <v>0</v>
      </c>
      <c r="AF391" s="261">
        <v>0</v>
      </c>
      <c r="AG391" s="261">
        <v>0</v>
      </c>
      <c r="AH391" s="261">
        <v>0</v>
      </c>
      <c r="AI391" s="261">
        <v>0</v>
      </c>
      <c r="AJ391" s="261">
        <v>30000000</v>
      </c>
      <c r="AK391" s="261">
        <v>88403740</v>
      </c>
      <c r="AL391" s="261">
        <v>238403740</v>
      </c>
      <c r="AM391" s="261">
        <v>488403740</v>
      </c>
      <c r="AN391" s="261">
        <v>400000000</v>
      </c>
      <c r="AO391" s="261">
        <v>238403740</v>
      </c>
      <c r="AP391" s="261">
        <v>30000000</v>
      </c>
      <c r="AQ391" s="261"/>
      <c r="AS391" s="261"/>
    </row>
    <row r="392" spans="1:45" s="1" customFormat="1" x14ac:dyDescent="0.25">
      <c r="A392" s="204">
        <v>30201020103</v>
      </c>
      <c r="B392" s="259" t="s">
        <v>619</v>
      </c>
      <c r="C392" s="261">
        <v>250000000</v>
      </c>
      <c r="D392" s="261">
        <v>150000000</v>
      </c>
      <c r="E392" s="261">
        <v>0</v>
      </c>
      <c r="F392" s="261">
        <v>0</v>
      </c>
      <c r="G392" s="261">
        <f>+C392+D392-E392+F392</f>
        <v>400000000</v>
      </c>
      <c r="H392" s="261">
        <v>0</v>
      </c>
      <c r="I392" s="261">
        <v>163985450</v>
      </c>
      <c r="J392" s="261">
        <f t="shared" si="163"/>
        <v>236014550</v>
      </c>
      <c r="K392" s="261">
        <v>2450000</v>
      </c>
      <c r="L392" s="261">
        <v>146411840</v>
      </c>
      <c r="M392" s="261">
        <f t="shared" si="169"/>
        <v>17573610</v>
      </c>
      <c r="N392" s="261">
        <v>238403740</v>
      </c>
      <c r="O392" s="261">
        <v>400000000</v>
      </c>
      <c r="P392" s="261">
        <f t="shared" si="167"/>
        <v>236014550</v>
      </c>
      <c r="Q392" s="177">
        <f t="shared" si="164"/>
        <v>0</v>
      </c>
      <c r="R392" s="261">
        <f t="shared" si="168"/>
        <v>146411840</v>
      </c>
      <c r="S392" s="257"/>
      <c r="T392" s="185">
        <v>30201020103</v>
      </c>
      <c r="U392" s="259" t="s">
        <v>619</v>
      </c>
      <c r="V392" s="261">
        <v>250000000</v>
      </c>
      <c r="W392" s="261">
        <v>150000000</v>
      </c>
      <c r="X392" s="261">
        <v>0</v>
      </c>
      <c r="Y392" s="261">
        <v>0</v>
      </c>
      <c r="Z392" s="261">
        <v>400000000</v>
      </c>
      <c r="AA392" s="261">
        <v>0</v>
      </c>
      <c r="AB392" s="261">
        <v>163985450</v>
      </c>
      <c r="AC392" s="261">
        <v>236014550</v>
      </c>
      <c r="AD392" s="261">
        <v>2450000</v>
      </c>
      <c r="AE392" s="261">
        <v>146411840</v>
      </c>
      <c r="AF392" s="261">
        <v>19425810</v>
      </c>
      <c r="AG392" s="261">
        <v>238403740</v>
      </c>
      <c r="AH392" s="261">
        <v>400000000</v>
      </c>
      <c r="AI392" s="261">
        <v>236014550</v>
      </c>
      <c r="AJ392" s="261">
        <v>0</v>
      </c>
      <c r="AK392" s="261">
        <v>0</v>
      </c>
      <c r="AL392" s="261">
        <v>0</v>
      </c>
      <c r="AM392" s="261">
        <v>0</v>
      </c>
      <c r="AN392" s="261">
        <v>0</v>
      </c>
      <c r="AO392" s="261">
        <v>0</v>
      </c>
      <c r="AP392" s="261">
        <v>30000000</v>
      </c>
      <c r="AQ392" s="261"/>
      <c r="AS392" s="261"/>
    </row>
    <row r="393" spans="1:45" x14ac:dyDescent="0.25">
      <c r="A393" s="7">
        <v>302010202</v>
      </c>
      <c r="B393" s="8" t="s">
        <v>620</v>
      </c>
      <c r="C393" s="9">
        <f>+C394+C395</f>
        <v>15000000</v>
      </c>
      <c r="D393" s="9">
        <f t="shared" ref="D393:R393" si="192">+D394+D395</f>
        <v>0</v>
      </c>
      <c r="E393" s="9">
        <f t="shared" si="192"/>
        <v>0</v>
      </c>
      <c r="F393" s="9">
        <f t="shared" si="192"/>
        <v>0</v>
      </c>
      <c r="G393" s="9">
        <f t="shared" si="192"/>
        <v>15000000</v>
      </c>
      <c r="H393" s="9">
        <f t="shared" si="192"/>
        <v>0</v>
      </c>
      <c r="I393" s="9">
        <f t="shared" si="192"/>
        <v>4468160</v>
      </c>
      <c r="J393" s="9">
        <f t="shared" ref="J393:J456" si="193">+G393-I393</f>
        <v>10531840</v>
      </c>
      <c r="K393" s="9">
        <f t="shared" si="192"/>
        <v>0</v>
      </c>
      <c r="L393" s="9">
        <f t="shared" si="192"/>
        <v>4468160</v>
      </c>
      <c r="M393" s="9">
        <f t="shared" si="192"/>
        <v>0</v>
      </c>
      <c r="N393" s="9">
        <f t="shared" si="192"/>
        <v>0</v>
      </c>
      <c r="O393" s="9">
        <f t="shared" si="192"/>
        <v>10000000</v>
      </c>
      <c r="P393" s="9">
        <f t="shared" si="192"/>
        <v>5531840</v>
      </c>
      <c r="Q393" s="9">
        <f t="shared" ref="Q393:Q456" si="194">+G393-O393</f>
        <v>5000000</v>
      </c>
      <c r="R393" s="9">
        <f t="shared" si="192"/>
        <v>4468160</v>
      </c>
      <c r="S393" s="1"/>
      <c r="T393" s="185">
        <v>302010202</v>
      </c>
      <c r="U393" s="259" t="s">
        <v>620</v>
      </c>
      <c r="V393" s="261">
        <v>15000000</v>
      </c>
      <c r="W393" s="261">
        <v>0</v>
      </c>
      <c r="X393" s="261">
        <v>0</v>
      </c>
      <c r="Y393" s="261">
        <v>0</v>
      </c>
      <c r="Z393" s="261">
        <v>15000000</v>
      </c>
      <c r="AA393" s="261">
        <v>0</v>
      </c>
      <c r="AB393" s="261">
        <v>4468160</v>
      </c>
      <c r="AC393" s="261">
        <v>10531840</v>
      </c>
      <c r="AD393" s="261">
        <v>0</v>
      </c>
      <c r="AE393" s="261">
        <v>4468160</v>
      </c>
      <c r="AF393" s="261">
        <v>0</v>
      </c>
      <c r="AG393" s="261">
        <v>0</v>
      </c>
      <c r="AH393" s="261">
        <v>10000000</v>
      </c>
      <c r="AI393" s="261">
        <v>5531840</v>
      </c>
      <c r="AJ393" s="261">
        <v>5000000</v>
      </c>
      <c r="AK393" s="261">
        <v>88403740</v>
      </c>
      <c r="AL393" s="261">
        <v>238403740</v>
      </c>
      <c r="AM393" s="261">
        <v>488403740</v>
      </c>
      <c r="AN393" s="261">
        <v>400000000</v>
      </c>
      <c r="AO393" s="261">
        <v>238403740</v>
      </c>
      <c r="AP393" s="261">
        <v>0</v>
      </c>
      <c r="AQ393" s="9"/>
      <c r="AS393" s="9"/>
    </row>
    <row r="394" spans="1:45" x14ac:dyDescent="0.25">
      <c r="A394" s="205">
        <v>30201020201</v>
      </c>
      <c r="B394" s="259" t="s">
        <v>621</v>
      </c>
      <c r="C394" s="261">
        <v>5000000</v>
      </c>
      <c r="D394" s="261">
        <v>0</v>
      </c>
      <c r="E394" s="261">
        <v>0</v>
      </c>
      <c r="F394" s="261">
        <v>0</v>
      </c>
      <c r="G394" s="261">
        <f>+C394+D394-E394+F394</f>
        <v>5000000</v>
      </c>
      <c r="H394" s="261">
        <v>0</v>
      </c>
      <c r="I394" s="261">
        <v>0</v>
      </c>
      <c r="J394" s="261">
        <f t="shared" si="193"/>
        <v>5000000</v>
      </c>
      <c r="K394" s="261">
        <v>0</v>
      </c>
      <c r="L394" s="261">
        <v>0</v>
      </c>
      <c r="M394" s="261">
        <f t="shared" si="169"/>
        <v>0</v>
      </c>
      <c r="N394" s="261">
        <v>0</v>
      </c>
      <c r="O394" s="261">
        <v>0</v>
      </c>
      <c r="P394" s="261">
        <f t="shared" si="167"/>
        <v>0</v>
      </c>
      <c r="Q394" s="177">
        <f t="shared" si="194"/>
        <v>5000000</v>
      </c>
      <c r="R394" s="261">
        <f t="shared" si="168"/>
        <v>0</v>
      </c>
      <c r="T394" s="185">
        <v>30201020201</v>
      </c>
      <c r="U394" s="259" t="s">
        <v>621</v>
      </c>
      <c r="V394" s="261">
        <v>5000000</v>
      </c>
      <c r="W394" s="261">
        <v>0</v>
      </c>
      <c r="X394" s="261">
        <v>0</v>
      </c>
      <c r="Y394" s="261">
        <v>0</v>
      </c>
      <c r="Z394" s="261">
        <v>5000000</v>
      </c>
      <c r="AA394" s="261">
        <v>0</v>
      </c>
      <c r="AB394" s="261">
        <v>0</v>
      </c>
      <c r="AC394" s="261">
        <v>5000000</v>
      </c>
      <c r="AD394" s="261">
        <v>0</v>
      </c>
      <c r="AE394" s="261">
        <v>0</v>
      </c>
      <c r="AF394" s="261">
        <v>0</v>
      </c>
      <c r="AG394" s="261">
        <v>0</v>
      </c>
      <c r="AH394" s="261">
        <v>0</v>
      </c>
      <c r="AI394" s="261">
        <v>0</v>
      </c>
      <c r="AJ394" s="261">
        <v>5000000</v>
      </c>
      <c r="AK394" s="261">
        <v>0</v>
      </c>
      <c r="AL394" s="261">
        <v>0</v>
      </c>
      <c r="AM394" s="261">
        <v>10000000</v>
      </c>
      <c r="AN394" s="261">
        <v>10000000</v>
      </c>
      <c r="AO394" s="261">
        <v>5531840</v>
      </c>
      <c r="AP394" s="261">
        <v>5000000</v>
      </c>
      <c r="AQ394" s="261"/>
      <c r="AS394" s="261"/>
    </row>
    <row r="395" spans="1:45" s="1" customFormat="1" x14ac:dyDescent="0.25">
      <c r="A395" s="204">
        <v>30201020203</v>
      </c>
      <c r="B395" s="259" t="s">
        <v>622</v>
      </c>
      <c r="C395" s="261">
        <v>10000000</v>
      </c>
      <c r="D395" s="261">
        <v>0</v>
      </c>
      <c r="E395" s="261">
        <v>0</v>
      </c>
      <c r="F395" s="261">
        <v>0</v>
      </c>
      <c r="G395" s="261">
        <f>+C395+D395-E395+F395</f>
        <v>10000000</v>
      </c>
      <c r="H395" s="261">
        <v>0</v>
      </c>
      <c r="I395" s="261">
        <v>4468160</v>
      </c>
      <c r="J395" s="261">
        <f t="shared" si="193"/>
        <v>5531840</v>
      </c>
      <c r="K395" s="261">
        <v>0</v>
      </c>
      <c r="L395" s="261">
        <v>4468160</v>
      </c>
      <c r="M395" s="261">
        <f t="shared" si="169"/>
        <v>0</v>
      </c>
      <c r="N395" s="261">
        <v>0</v>
      </c>
      <c r="O395" s="261">
        <v>10000000</v>
      </c>
      <c r="P395" s="261">
        <f t="shared" si="167"/>
        <v>5531840</v>
      </c>
      <c r="Q395" s="177">
        <f t="shared" si="194"/>
        <v>0</v>
      </c>
      <c r="R395" s="261">
        <f t="shared" si="168"/>
        <v>4468160</v>
      </c>
      <c r="S395" s="257"/>
      <c r="T395" s="185">
        <v>30201020203</v>
      </c>
      <c r="U395" s="259" t="s">
        <v>622</v>
      </c>
      <c r="V395" s="261">
        <v>10000000</v>
      </c>
      <c r="W395" s="261">
        <v>0</v>
      </c>
      <c r="X395" s="261">
        <v>0</v>
      </c>
      <c r="Y395" s="261">
        <v>0</v>
      </c>
      <c r="Z395" s="261">
        <v>10000000</v>
      </c>
      <c r="AA395" s="261">
        <v>0</v>
      </c>
      <c r="AB395" s="261">
        <v>4468160</v>
      </c>
      <c r="AC395" s="261">
        <v>5531840</v>
      </c>
      <c r="AD395" s="261">
        <v>0</v>
      </c>
      <c r="AE395" s="261">
        <v>4468160</v>
      </c>
      <c r="AF395" s="261">
        <v>0</v>
      </c>
      <c r="AG395" s="261">
        <v>0</v>
      </c>
      <c r="AH395" s="261">
        <v>10000000</v>
      </c>
      <c r="AI395" s="261">
        <v>5531840</v>
      </c>
      <c r="AJ395" s="261">
        <v>0</v>
      </c>
      <c r="AK395" s="261">
        <v>0</v>
      </c>
      <c r="AL395" s="261">
        <v>0</v>
      </c>
      <c r="AM395" s="261">
        <v>0</v>
      </c>
      <c r="AN395" s="261">
        <v>0</v>
      </c>
      <c r="AO395" s="261">
        <v>0</v>
      </c>
      <c r="AP395" s="261">
        <v>5000000</v>
      </c>
      <c r="AQ395" s="261"/>
      <c r="AS395" s="261"/>
    </row>
    <row r="396" spans="1:45" s="1" customFormat="1" x14ac:dyDescent="0.25">
      <c r="A396" s="7">
        <v>302010203</v>
      </c>
      <c r="B396" s="8" t="s">
        <v>623</v>
      </c>
      <c r="C396" s="9">
        <f>+C397+C398</f>
        <v>45000000</v>
      </c>
      <c r="D396" s="9">
        <f t="shared" ref="D396:R396" si="195">+D397+D398</f>
        <v>0</v>
      </c>
      <c r="E396" s="9">
        <f t="shared" si="195"/>
        <v>0</v>
      </c>
      <c r="F396" s="9">
        <f t="shared" si="195"/>
        <v>0</v>
      </c>
      <c r="G396" s="9">
        <f t="shared" si="195"/>
        <v>45000000</v>
      </c>
      <c r="H396" s="9">
        <f t="shared" si="195"/>
        <v>0</v>
      </c>
      <c r="I396" s="9">
        <f t="shared" si="195"/>
        <v>0</v>
      </c>
      <c r="J396" s="9">
        <f t="shared" si="193"/>
        <v>45000000</v>
      </c>
      <c r="K396" s="9">
        <f t="shared" si="195"/>
        <v>0</v>
      </c>
      <c r="L396" s="9">
        <f t="shared" si="195"/>
        <v>0</v>
      </c>
      <c r="M396" s="9">
        <f t="shared" si="195"/>
        <v>0</v>
      </c>
      <c r="N396" s="9">
        <f t="shared" si="195"/>
        <v>2020880</v>
      </c>
      <c r="O396" s="9">
        <f t="shared" si="195"/>
        <v>2020880</v>
      </c>
      <c r="P396" s="9">
        <f t="shared" si="195"/>
        <v>2020880</v>
      </c>
      <c r="Q396" s="9">
        <f t="shared" si="194"/>
        <v>42979120</v>
      </c>
      <c r="R396" s="9">
        <f t="shared" si="195"/>
        <v>0</v>
      </c>
      <c r="T396" s="185">
        <v>302010203</v>
      </c>
      <c r="U396" s="259" t="s">
        <v>623</v>
      </c>
      <c r="V396" s="261">
        <v>45000000</v>
      </c>
      <c r="W396" s="261">
        <v>0</v>
      </c>
      <c r="X396" s="261">
        <v>0</v>
      </c>
      <c r="Y396" s="261">
        <v>0</v>
      </c>
      <c r="Z396" s="261">
        <v>45000000</v>
      </c>
      <c r="AA396" s="261">
        <v>0</v>
      </c>
      <c r="AB396" s="261">
        <v>0</v>
      </c>
      <c r="AC396" s="261">
        <v>45000000</v>
      </c>
      <c r="AD396" s="261">
        <v>0</v>
      </c>
      <c r="AE396" s="261">
        <v>0</v>
      </c>
      <c r="AF396" s="261">
        <v>0</v>
      </c>
      <c r="AG396" s="261">
        <v>2020880</v>
      </c>
      <c r="AH396" s="261">
        <v>2020880</v>
      </c>
      <c r="AI396" s="261">
        <v>2020880</v>
      </c>
      <c r="AJ396" s="261">
        <v>42979120</v>
      </c>
      <c r="AK396" s="261">
        <v>0</v>
      </c>
      <c r="AL396" s="261">
        <v>0</v>
      </c>
      <c r="AM396" s="261">
        <v>10000000</v>
      </c>
      <c r="AN396" s="261">
        <v>10000000</v>
      </c>
      <c r="AO396" s="261">
        <v>5531840</v>
      </c>
      <c r="AP396" s="261">
        <v>0</v>
      </c>
      <c r="AQ396" s="9"/>
      <c r="AS396" s="9"/>
    </row>
    <row r="397" spans="1:45" x14ac:dyDescent="0.25">
      <c r="A397" s="206">
        <v>30201020302</v>
      </c>
      <c r="B397" s="259" t="s">
        <v>624</v>
      </c>
      <c r="C397" s="261">
        <v>25000000</v>
      </c>
      <c r="D397" s="261">
        <v>0</v>
      </c>
      <c r="E397" s="261">
        <v>0</v>
      </c>
      <c r="F397" s="261">
        <v>0</v>
      </c>
      <c r="G397" s="261">
        <f>+C397+D397-E397+F397</f>
        <v>25000000</v>
      </c>
      <c r="H397" s="261">
        <v>0</v>
      </c>
      <c r="I397" s="261">
        <v>0</v>
      </c>
      <c r="J397" s="261">
        <f t="shared" si="193"/>
        <v>25000000</v>
      </c>
      <c r="K397" s="261">
        <v>0</v>
      </c>
      <c r="L397" s="261">
        <v>0</v>
      </c>
      <c r="M397" s="261">
        <f t="shared" si="169"/>
        <v>0</v>
      </c>
      <c r="N397" s="261">
        <v>2020880</v>
      </c>
      <c r="O397" s="261">
        <v>2020880</v>
      </c>
      <c r="P397" s="261">
        <f t="shared" ref="P397:P458" si="196">+O397-I397</f>
        <v>2020880</v>
      </c>
      <c r="Q397" s="177">
        <f t="shared" si="194"/>
        <v>22979120</v>
      </c>
      <c r="R397" s="261">
        <f t="shared" ref="R397:R458" si="197">+L397</f>
        <v>0</v>
      </c>
      <c r="T397" s="185">
        <v>30201020302</v>
      </c>
      <c r="U397" s="259" t="s">
        <v>624</v>
      </c>
      <c r="V397" s="261">
        <v>25000000</v>
      </c>
      <c r="W397" s="261">
        <v>0</v>
      </c>
      <c r="X397" s="261">
        <v>0</v>
      </c>
      <c r="Y397" s="261">
        <v>0</v>
      </c>
      <c r="Z397" s="261">
        <v>25000000</v>
      </c>
      <c r="AA397" s="261">
        <v>0</v>
      </c>
      <c r="AB397" s="261">
        <v>0</v>
      </c>
      <c r="AC397" s="261">
        <v>25000000</v>
      </c>
      <c r="AD397" s="261">
        <v>0</v>
      </c>
      <c r="AE397" s="261">
        <v>0</v>
      </c>
      <c r="AF397" s="261">
        <v>0</v>
      </c>
      <c r="AG397" s="261">
        <v>2020880</v>
      </c>
      <c r="AH397" s="261">
        <v>2020880</v>
      </c>
      <c r="AI397" s="261">
        <v>2020880</v>
      </c>
      <c r="AJ397" s="261">
        <v>22979120</v>
      </c>
      <c r="AK397" s="261">
        <v>0</v>
      </c>
      <c r="AL397" s="261">
        <v>2020880</v>
      </c>
      <c r="AM397" s="261">
        <v>2020880</v>
      </c>
      <c r="AN397" s="261">
        <v>2020880</v>
      </c>
      <c r="AO397" s="261">
        <v>2020880</v>
      </c>
      <c r="AP397" s="261">
        <v>42979120</v>
      </c>
      <c r="AQ397" s="261"/>
      <c r="AS397" s="261"/>
    </row>
    <row r="398" spans="1:45" x14ac:dyDescent="0.25">
      <c r="A398" s="204">
        <v>30201020303</v>
      </c>
      <c r="B398" s="259" t="s">
        <v>625</v>
      </c>
      <c r="C398" s="261">
        <v>20000000</v>
      </c>
      <c r="D398" s="261">
        <v>0</v>
      </c>
      <c r="E398" s="261">
        <v>0</v>
      </c>
      <c r="F398" s="261">
        <v>0</v>
      </c>
      <c r="G398" s="261">
        <f>+C398+D398-E398+F398</f>
        <v>20000000</v>
      </c>
      <c r="H398" s="261">
        <v>0</v>
      </c>
      <c r="I398" s="261">
        <v>0</v>
      </c>
      <c r="J398" s="261">
        <f t="shared" si="193"/>
        <v>20000000</v>
      </c>
      <c r="K398" s="261">
        <v>0</v>
      </c>
      <c r="L398" s="261">
        <v>0</v>
      </c>
      <c r="M398" s="261">
        <f t="shared" ref="M398:M461" si="198">+I398-L398</f>
        <v>0</v>
      </c>
      <c r="N398" s="261">
        <v>0</v>
      </c>
      <c r="O398" s="261">
        <v>0</v>
      </c>
      <c r="P398" s="261">
        <f t="shared" si="196"/>
        <v>0</v>
      </c>
      <c r="Q398" s="177">
        <f t="shared" si="194"/>
        <v>20000000</v>
      </c>
      <c r="R398" s="261">
        <f t="shared" si="197"/>
        <v>0</v>
      </c>
      <c r="T398" s="185">
        <v>30201020303</v>
      </c>
      <c r="U398" s="259" t="s">
        <v>625</v>
      </c>
      <c r="V398" s="261">
        <v>20000000</v>
      </c>
      <c r="W398" s="261">
        <v>0</v>
      </c>
      <c r="X398" s="261">
        <v>0</v>
      </c>
      <c r="Y398" s="261">
        <v>0</v>
      </c>
      <c r="Z398" s="261">
        <v>20000000</v>
      </c>
      <c r="AA398" s="261">
        <v>0</v>
      </c>
      <c r="AB398" s="261">
        <v>0</v>
      </c>
      <c r="AC398" s="261">
        <v>20000000</v>
      </c>
      <c r="AD398" s="261">
        <v>0</v>
      </c>
      <c r="AE398" s="261">
        <v>0</v>
      </c>
      <c r="AF398" s="261">
        <v>0</v>
      </c>
      <c r="AG398" s="261">
        <v>0</v>
      </c>
      <c r="AH398" s="261">
        <v>0</v>
      </c>
      <c r="AI398" s="261">
        <v>0</v>
      </c>
      <c r="AJ398" s="261">
        <v>20000000</v>
      </c>
      <c r="AK398" s="261">
        <v>0</v>
      </c>
      <c r="AL398" s="261">
        <v>2020880</v>
      </c>
      <c r="AM398" s="261">
        <v>2020880</v>
      </c>
      <c r="AN398" s="261">
        <v>2020880</v>
      </c>
      <c r="AO398" s="261">
        <v>2020880</v>
      </c>
      <c r="AP398" s="261">
        <v>22979120</v>
      </c>
      <c r="AQ398" s="261"/>
      <c r="AS398" s="261"/>
    </row>
    <row r="399" spans="1:45" s="1" customFormat="1" x14ac:dyDescent="0.25">
      <c r="A399" s="7">
        <v>3020103</v>
      </c>
      <c r="B399" s="8" t="s">
        <v>626</v>
      </c>
      <c r="C399" s="9">
        <f>+C400+C403+C406+C407</f>
        <v>170000000</v>
      </c>
      <c r="D399" s="9">
        <f t="shared" ref="D399:R399" si="199">+D400+D403+D406+D407</f>
        <v>0</v>
      </c>
      <c r="E399" s="9">
        <f t="shared" si="199"/>
        <v>0</v>
      </c>
      <c r="F399" s="9">
        <f t="shared" si="199"/>
        <v>0</v>
      </c>
      <c r="G399" s="9">
        <f t="shared" si="199"/>
        <v>170000000</v>
      </c>
      <c r="H399" s="9">
        <f t="shared" si="199"/>
        <v>4000000</v>
      </c>
      <c r="I399" s="9">
        <f t="shared" si="199"/>
        <v>43000000</v>
      </c>
      <c r="J399" s="9">
        <f t="shared" si="193"/>
        <v>127000000</v>
      </c>
      <c r="K399" s="9">
        <f t="shared" si="199"/>
        <v>7000000</v>
      </c>
      <c r="L399" s="9">
        <f t="shared" si="199"/>
        <v>17000000</v>
      </c>
      <c r="M399" s="9">
        <f t="shared" si="199"/>
        <v>26000000</v>
      </c>
      <c r="N399" s="9">
        <f t="shared" si="199"/>
        <v>8041760</v>
      </c>
      <c r="O399" s="9">
        <f t="shared" si="199"/>
        <v>58005736</v>
      </c>
      <c r="P399" s="9">
        <f t="shared" si="199"/>
        <v>15005736</v>
      </c>
      <c r="Q399" s="9">
        <f t="shared" si="194"/>
        <v>111994264</v>
      </c>
      <c r="R399" s="9">
        <f t="shared" si="199"/>
        <v>17000000</v>
      </c>
      <c r="T399" s="185">
        <v>3020103</v>
      </c>
      <c r="U399" s="259" t="s">
        <v>626</v>
      </c>
      <c r="V399" s="261">
        <v>160000000</v>
      </c>
      <c r="W399" s="261">
        <v>0</v>
      </c>
      <c r="X399" s="261">
        <v>0</v>
      </c>
      <c r="Y399" s="261">
        <v>0</v>
      </c>
      <c r="Z399" s="261">
        <v>160000000</v>
      </c>
      <c r="AA399" s="261">
        <v>4000000</v>
      </c>
      <c r="AB399" s="261">
        <v>43000000</v>
      </c>
      <c r="AC399" s="261">
        <v>117000000</v>
      </c>
      <c r="AD399" s="261">
        <v>7000000</v>
      </c>
      <c r="AE399" s="261">
        <v>17000000</v>
      </c>
      <c r="AF399" s="261">
        <v>26000000</v>
      </c>
      <c r="AG399" s="261">
        <v>8041760</v>
      </c>
      <c r="AH399" s="261">
        <v>58005736</v>
      </c>
      <c r="AI399" s="261">
        <v>15005736</v>
      </c>
      <c r="AJ399" s="261">
        <v>101994264</v>
      </c>
      <c r="AK399" s="261">
        <v>0</v>
      </c>
      <c r="AL399" s="261">
        <v>0</v>
      </c>
      <c r="AM399" s="261">
        <v>0</v>
      </c>
      <c r="AN399" s="261">
        <v>0</v>
      </c>
      <c r="AO399" s="261">
        <v>0</v>
      </c>
      <c r="AP399" s="261">
        <v>20000000</v>
      </c>
      <c r="AQ399" s="9"/>
      <c r="AS399" s="9"/>
    </row>
    <row r="400" spans="1:45" x14ac:dyDescent="0.25">
      <c r="A400" s="7">
        <v>302010301</v>
      </c>
      <c r="B400" s="8" t="s">
        <v>627</v>
      </c>
      <c r="C400" s="9">
        <f>+C401+C402</f>
        <v>70000000</v>
      </c>
      <c r="D400" s="9">
        <f t="shared" ref="D400:R400" si="200">+D401+D402</f>
        <v>0</v>
      </c>
      <c r="E400" s="9">
        <f t="shared" si="200"/>
        <v>0</v>
      </c>
      <c r="F400" s="9">
        <f t="shared" si="200"/>
        <v>0</v>
      </c>
      <c r="G400" s="9">
        <f t="shared" si="200"/>
        <v>70000000</v>
      </c>
      <c r="H400" s="9">
        <f t="shared" si="200"/>
        <v>0</v>
      </c>
      <c r="I400" s="9">
        <f t="shared" si="200"/>
        <v>15000000</v>
      </c>
      <c r="J400" s="9">
        <f t="shared" si="193"/>
        <v>55000000</v>
      </c>
      <c r="K400" s="9">
        <f t="shared" si="200"/>
        <v>2500000</v>
      </c>
      <c r="L400" s="9">
        <f t="shared" si="200"/>
        <v>7500000</v>
      </c>
      <c r="M400" s="9">
        <f t="shared" si="200"/>
        <v>7500000</v>
      </c>
      <c r="N400" s="9">
        <f t="shared" si="200"/>
        <v>4041760</v>
      </c>
      <c r="O400" s="9">
        <f t="shared" si="200"/>
        <v>19041760</v>
      </c>
      <c r="P400" s="9">
        <f t="shared" si="200"/>
        <v>4041760</v>
      </c>
      <c r="Q400" s="9">
        <f t="shared" si="194"/>
        <v>50958240</v>
      </c>
      <c r="R400" s="9">
        <f t="shared" si="200"/>
        <v>7500000</v>
      </c>
      <c r="S400" s="1"/>
      <c r="T400" s="185">
        <v>302010301</v>
      </c>
      <c r="U400" s="259" t="s">
        <v>627</v>
      </c>
      <c r="V400" s="261">
        <v>70000000</v>
      </c>
      <c r="W400" s="261">
        <v>0</v>
      </c>
      <c r="X400" s="261">
        <v>0</v>
      </c>
      <c r="Y400" s="261">
        <v>0</v>
      </c>
      <c r="Z400" s="261">
        <v>70000000</v>
      </c>
      <c r="AA400" s="261">
        <v>0</v>
      </c>
      <c r="AB400" s="261">
        <v>15000000</v>
      </c>
      <c r="AC400" s="261">
        <v>55000000</v>
      </c>
      <c r="AD400" s="261">
        <v>2500000</v>
      </c>
      <c r="AE400" s="261">
        <v>7500000</v>
      </c>
      <c r="AF400" s="261">
        <v>7500000</v>
      </c>
      <c r="AG400" s="261">
        <v>4041760</v>
      </c>
      <c r="AH400" s="261">
        <v>19041760</v>
      </c>
      <c r="AI400" s="261">
        <v>4041760</v>
      </c>
      <c r="AJ400" s="261">
        <v>50958240</v>
      </c>
      <c r="AK400" s="261">
        <v>0</v>
      </c>
      <c r="AL400" s="261">
        <v>4000000</v>
      </c>
      <c r="AM400" s="261">
        <v>53963976</v>
      </c>
      <c r="AN400" s="261">
        <v>53963976</v>
      </c>
      <c r="AO400" s="261">
        <v>10963976</v>
      </c>
      <c r="AP400" s="261">
        <v>106036024</v>
      </c>
      <c r="AQ400" s="9"/>
      <c r="AS400" s="9"/>
    </row>
    <row r="401" spans="1:45" x14ac:dyDescent="0.25">
      <c r="A401" s="205">
        <v>30201030101</v>
      </c>
      <c r="B401" s="259" t="s">
        <v>628</v>
      </c>
      <c r="C401" s="261">
        <v>20000000</v>
      </c>
      <c r="D401" s="261">
        <v>0</v>
      </c>
      <c r="E401" s="261">
        <v>0</v>
      </c>
      <c r="F401" s="261">
        <v>0</v>
      </c>
      <c r="G401" s="261">
        <f>+C401+D401-E401+F401</f>
        <v>20000000</v>
      </c>
      <c r="H401" s="261">
        <v>0</v>
      </c>
      <c r="I401" s="261">
        <v>0</v>
      </c>
      <c r="J401" s="261">
        <f t="shared" si="193"/>
        <v>20000000</v>
      </c>
      <c r="K401" s="261">
        <v>0</v>
      </c>
      <c r="L401" s="261">
        <v>0</v>
      </c>
      <c r="M401" s="261">
        <f t="shared" si="198"/>
        <v>0</v>
      </c>
      <c r="N401" s="261">
        <v>0</v>
      </c>
      <c r="O401" s="261">
        <v>0</v>
      </c>
      <c r="P401" s="261">
        <f t="shared" si="196"/>
        <v>0</v>
      </c>
      <c r="Q401" s="177">
        <f t="shared" si="194"/>
        <v>20000000</v>
      </c>
      <c r="R401" s="261">
        <f t="shared" si="197"/>
        <v>0</v>
      </c>
      <c r="T401" s="185">
        <v>30201030101</v>
      </c>
      <c r="U401" s="259" t="s">
        <v>628</v>
      </c>
      <c r="V401" s="261">
        <v>20000000</v>
      </c>
      <c r="W401" s="261">
        <v>0</v>
      </c>
      <c r="X401" s="261">
        <v>0</v>
      </c>
      <c r="Y401" s="261">
        <v>0</v>
      </c>
      <c r="Z401" s="261">
        <v>20000000</v>
      </c>
      <c r="AA401" s="261">
        <v>0</v>
      </c>
      <c r="AB401" s="261">
        <v>0</v>
      </c>
      <c r="AC401" s="261">
        <v>20000000</v>
      </c>
      <c r="AD401" s="261">
        <v>0</v>
      </c>
      <c r="AE401" s="261">
        <v>0</v>
      </c>
      <c r="AF401" s="261">
        <v>0</v>
      </c>
      <c r="AG401" s="261">
        <v>0</v>
      </c>
      <c r="AH401" s="261">
        <v>0</v>
      </c>
      <c r="AI401" s="261">
        <v>0</v>
      </c>
      <c r="AJ401" s="261">
        <v>20000000</v>
      </c>
      <c r="AK401" s="261">
        <v>0</v>
      </c>
      <c r="AL401" s="261">
        <v>0</v>
      </c>
      <c r="AM401" s="261">
        <v>15000000</v>
      </c>
      <c r="AN401" s="261">
        <v>15000000</v>
      </c>
      <c r="AO401" s="261">
        <v>0</v>
      </c>
      <c r="AP401" s="261">
        <v>55000000</v>
      </c>
      <c r="AQ401" s="261"/>
      <c r="AS401" s="261"/>
    </row>
    <row r="402" spans="1:45" x14ac:dyDescent="0.25">
      <c r="A402" s="204">
        <v>30201030103</v>
      </c>
      <c r="B402" s="259" t="s">
        <v>629</v>
      </c>
      <c r="C402" s="261">
        <v>50000000</v>
      </c>
      <c r="D402" s="261">
        <v>0</v>
      </c>
      <c r="E402" s="261">
        <v>0</v>
      </c>
      <c r="F402" s="261">
        <v>0</v>
      </c>
      <c r="G402" s="261">
        <f>+C402+D402-E402+F402</f>
        <v>50000000</v>
      </c>
      <c r="H402" s="261">
        <v>0</v>
      </c>
      <c r="I402" s="261">
        <v>15000000</v>
      </c>
      <c r="J402" s="261">
        <f t="shared" si="193"/>
        <v>35000000</v>
      </c>
      <c r="K402" s="261">
        <v>2500000</v>
      </c>
      <c r="L402" s="261">
        <v>7500000</v>
      </c>
      <c r="M402" s="261">
        <f t="shared" si="198"/>
        <v>7500000</v>
      </c>
      <c r="N402" s="261">
        <v>4041760</v>
      </c>
      <c r="O402" s="261">
        <v>19041760</v>
      </c>
      <c r="P402" s="261">
        <f t="shared" si="196"/>
        <v>4041760</v>
      </c>
      <c r="Q402" s="177">
        <f t="shared" si="194"/>
        <v>30958240</v>
      </c>
      <c r="R402" s="261">
        <f t="shared" si="197"/>
        <v>7500000</v>
      </c>
      <c r="T402" s="185">
        <v>30201030103</v>
      </c>
      <c r="U402" s="259" t="s">
        <v>629</v>
      </c>
      <c r="V402" s="261">
        <v>50000000</v>
      </c>
      <c r="W402" s="261">
        <v>0</v>
      </c>
      <c r="X402" s="261">
        <v>0</v>
      </c>
      <c r="Y402" s="261">
        <v>0</v>
      </c>
      <c r="Z402" s="261">
        <v>50000000</v>
      </c>
      <c r="AA402" s="261">
        <v>0</v>
      </c>
      <c r="AB402" s="261">
        <v>15000000</v>
      </c>
      <c r="AC402" s="261">
        <v>35000000</v>
      </c>
      <c r="AD402" s="261">
        <v>2500000</v>
      </c>
      <c r="AE402" s="261">
        <v>7500000</v>
      </c>
      <c r="AF402" s="261">
        <v>7500000</v>
      </c>
      <c r="AG402" s="261">
        <v>4041760</v>
      </c>
      <c r="AH402" s="261">
        <v>19041760</v>
      </c>
      <c r="AI402" s="261">
        <v>4041760</v>
      </c>
      <c r="AJ402" s="261">
        <v>30958240</v>
      </c>
      <c r="AK402" s="261">
        <v>0</v>
      </c>
      <c r="AL402" s="261">
        <v>0</v>
      </c>
      <c r="AM402" s="261">
        <v>0</v>
      </c>
      <c r="AN402" s="261">
        <v>0</v>
      </c>
      <c r="AO402" s="261">
        <v>0</v>
      </c>
      <c r="AP402" s="261">
        <v>20000000</v>
      </c>
      <c r="AQ402" s="261"/>
      <c r="AS402" s="261"/>
    </row>
    <row r="403" spans="1:45" x14ac:dyDescent="0.25">
      <c r="A403" s="7">
        <v>302010302</v>
      </c>
      <c r="B403" s="8" t="s">
        <v>630</v>
      </c>
      <c r="C403" s="9">
        <f>+C404+C405</f>
        <v>70000000</v>
      </c>
      <c r="D403" s="9">
        <f t="shared" ref="D403:R403" si="201">+D404+D405</f>
        <v>0</v>
      </c>
      <c r="E403" s="9">
        <f t="shared" si="201"/>
        <v>0</v>
      </c>
      <c r="F403" s="9">
        <f t="shared" si="201"/>
        <v>0</v>
      </c>
      <c r="G403" s="9">
        <f t="shared" si="201"/>
        <v>70000000</v>
      </c>
      <c r="H403" s="9">
        <f t="shared" si="201"/>
        <v>4000000</v>
      </c>
      <c r="I403" s="9">
        <f t="shared" si="201"/>
        <v>28000000</v>
      </c>
      <c r="J403" s="9">
        <f t="shared" si="193"/>
        <v>42000000</v>
      </c>
      <c r="K403" s="9">
        <f t="shared" si="201"/>
        <v>4500000</v>
      </c>
      <c r="L403" s="9">
        <f t="shared" si="201"/>
        <v>9500000</v>
      </c>
      <c r="M403" s="9">
        <f t="shared" si="201"/>
        <v>18500000</v>
      </c>
      <c r="N403" s="9">
        <f t="shared" si="201"/>
        <v>4000000</v>
      </c>
      <c r="O403" s="9">
        <f t="shared" si="201"/>
        <v>38963976</v>
      </c>
      <c r="P403" s="9">
        <f t="shared" si="201"/>
        <v>10963976</v>
      </c>
      <c r="Q403" s="9">
        <f t="shared" si="194"/>
        <v>31036024</v>
      </c>
      <c r="R403" s="9">
        <f t="shared" si="201"/>
        <v>9500000</v>
      </c>
      <c r="S403" s="1"/>
      <c r="T403" s="185">
        <v>302010302</v>
      </c>
      <c r="U403" s="259" t="s">
        <v>630</v>
      </c>
      <c r="V403" s="261">
        <v>70000000</v>
      </c>
      <c r="W403" s="261">
        <v>0</v>
      </c>
      <c r="X403" s="261">
        <v>0</v>
      </c>
      <c r="Y403" s="261">
        <v>0</v>
      </c>
      <c r="Z403" s="261">
        <v>70000000</v>
      </c>
      <c r="AA403" s="261">
        <v>4000000</v>
      </c>
      <c r="AB403" s="261">
        <v>28000000</v>
      </c>
      <c r="AC403" s="261">
        <v>42000000</v>
      </c>
      <c r="AD403" s="261">
        <v>4500000</v>
      </c>
      <c r="AE403" s="261">
        <v>9500000</v>
      </c>
      <c r="AF403" s="261">
        <v>18500000</v>
      </c>
      <c r="AG403" s="261">
        <v>4000000</v>
      </c>
      <c r="AH403" s="261">
        <v>38963976</v>
      </c>
      <c r="AI403" s="261">
        <v>10963976</v>
      </c>
      <c r="AJ403" s="261">
        <v>31036024</v>
      </c>
      <c r="AK403" s="261">
        <v>0</v>
      </c>
      <c r="AL403" s="261">
        <v>0</v>
      </c>
      <c r="AM403" s="261">
        <v>15000000</v>
      </c>
      <c r="AN403" s="261">
        <v>15000000</v>
      </c>
      <c r="AO403" s="261">
        <v>0</v>
      </c>
      <c r="AP403" s="261">
        <v>35000000</v>
      </c>
      <c r="AQ403" s="9"/>
      <c r="AS403" s="9"/>
    </row>
    <row r="404" spans="1:45" s="1" customFormat="1" x14ac:dyDescent="0.25">
      <c r="A404" s="205">
        <v>30201030201</v>
      </c>
      <c r="B404" s="259" t="s">
        <v>631</v>
      </c>
      <c r="C404" s="261">
        <v>20000000</v>
      </c>
      <c r="D404" s="261">
        <v>0</v>
      </c>
      <c r="E404" s="261">
        <v>0</v>
      </c>
      <c r="F404" s="261">
        <v>0</v>
      </c>
      <c r="G404" s="261">
        <f>+C404+D404-E404+F404</f>
        <v>20000000</v>
      </c>
      <c r="H404" s="261">
        <v>0</v>
      </c>
      <c r="I404" s="261">
        <v>0</v>
      </c>
      <c r="J404" s="261">
        <f t="shared" si="193"/>
        <v>20000000</v>
      </c>
      <c r="K404" s="261">
        <v>0</v>
      </c>
      <c r="L404" s="261">
        <v>0</v>
      </c>
      <c r="M404" s="261">
        <f t="shared" si="198"/>
        <v>0</v>
      </c>
      <c r="N404" s="261">
        <v>0</v>
      </c>
      <c r="O404" s="261">
        <v>0</v>
      </c>
      <c r="P404" s="261">
        <f t="shared" si="196"/>
        <v>0</v>
      </c>
      <c r="Q404" s="177">
        <f t="shared" si="194"/>
        <v>20000000</v>
      </c>
      <c r="R404" s="261">
        <f t="shared" si="197"/>
        <v>0</v>
      </c>
      <c r="S404" s="257"/>
      <c r="T404" s="185">
        <v>30201030201</v>
      </c>
      <c r="U404" s="259" t="s">
        <v>631</v>
      </c>
      <c r="V404" s="261">
        <v>20000000</v>
      </c>
      <c r="W404" s="261">
        <v>0</v>
      </c>
      <c r="X404" s="261">
        <v>0</v>
      </c>
      <c r="Y404" s="261">
        <v>0</v>
      </c>
      <c r="Z404" s="261">
        <v>20000000</v>
      </c>
      <c r="AA404" s="261">
        <v>0</v>
      </c>
      <c r="AB404" s="261">
        <v>0</v>
      </c>
      <c r="AC404" s="261">
        <v>20000000</v>
      </c>
      <c r="AD404" s="261">
        <v>0</v>
      </c>
      <c r="AE404" s="261">
        <v>0</v>
      </c>
      <c r="AF404" s="261">
        <v>0</v>
      </c>
      <c r="AG404" s="261">
        <v>0</v>
      </c>
      <c r="AH404" s="261">
        <v>0</v>
      </c>
      <c r="AI404" s="261">
        <v>0</v>
      </c>
      <c r="AJ404" s="261">
        <v>20000000</v>
      </c>
      <c r="AK404" s="261">
        <v>0</v>
      </c>
      <c r="AL404" s="261">
        <v>4000000</v>
      </c>
      <c r="AM404" s="261">
        <v>38963976</v>
      </c>
      <c r="AN404" s="261">
        <v>38963976</v>
      </c>
      <c r="AO404" s="261">
        <v>10963976</v>
      </c>
      <c r="AP404" s="261">
        <v>31036024</v>
      </c>
      <c r="AQ404" s="261"/>
      <c r="AS404" s="261"/>
    </row>
    <row r="405" spans="1:45" x14ac:dyDescent="0.25">
      <c r="A405" s="204">
        <v>30201030203</v>
      </c>
      <c r="B405" s="259" t="s">
        <v>632</v>
      </c>
      <c r="C405" s="261">
        <v>50000000</v>
      </c>
      <c r="D405" s="261">
        <v>0</v>
      </c>
      <c r="E405" s="261">
        <v>0</v>
      </c>
      <c r="F405" s="261">
        <v>0</v>
      </c>
      <c r="G405" s="261">
        <f>+C405+D405-E405+F405</f>
        <v>50000000</v>
      </c>
      <c r="H405" s="261">
        <v>4000000</v>
      </c>
      <c r="I405" s="261">
        <v>28000000</v>
      </c>
      <c r="J405" s="261">
        <f t="shared" si="193"/>
        <v>22000000</v>
      </c>
      <c r="K405" s="261">
        <v>4500000</v>
      </c>
      <c r="L405" s="261">
        <v>9500000</v>
      </c>
      <c r="M405" s="261">
        <f t="shared" si="198"/>
        <v>18500000</v>
      </c>
      <c r="N405" s="261">
        <v>4000000</v>
      </c>
      <c r="O405" s="261">
        <v>38963976</v>
      </c>
      <c r="P405" s="261">
        <f t="shared" si="196"/>
        <v>10963976</v>
      </c>
      <c r="Q405" s="177">
        <f t="shared" si="194"/>
        <v>11036024</v>
      </c>
      <c r="R405" s="261">
        <f t="shared" si="197"/>
        <v>9500000</v>
      </c>
      <c r="T405" s="185">
        <v>30201030203</v>
      </c>
      <c r="U405" s="259" t="s">
        <v>632</v>
      </c>
      <c r="V405" s="261">
        <v>50000000</v>
      </c>
      <c r="W405" s="261">
        <v>0</v>
      </c>
      <c r="X405" s="261">
        <v>0</v>
      </c>
      <c r="Y405" s="261">
        <v>0</v>
      </c>
      <c r="Z405" s="261">
        <v>50000000</v>
      </c>
      <c r="AA405" s="261">
        <v>4000000</v>
      </c>
      <c r="AB405" s="261">
        <v>28000000</v>
      </c>
      <c r="AC405" s="261">
        <v>22000000</v>
      </c>
      <c r="AD405" s="261">
        <v>4500000</v>
      </c>
      <c r="AE405" s="261">
        <v>9500000</v>
      </c>
      <c r="AF405" s="261">
        <v>18500000</v>
      </c>
      <c r="AG405" s="261">
        <v>4000000</v>
      </c>
      <c r="AH405" s="261">
        <v>38963976</v>
      </c>
      <c r="AI405" s="261">
        <v>10963976</v>
      </c>
      <c r="AJ405" s="261">
        <v>11036024</v>
      </c>
      <c r="AK405" s="261">
        <v>0</v>
      </c>
      <c r="AL405" s="261">
        <v>4000000</v>
      </c>
      <c r="AM405" s="261">
        <v>38963976</v>
      </c>
      <c r="AN405" s="261">
        <v>38963976</v>
      </c>
      <c r="AO405" s="261">
        <v>10963976</v>
      </c>
      <c r="AP405" s="261">
        <v>11036024</v>
      </c>
      <c r="AQ405" s="261"/>
      <c r="AS405" s="261"/>
    </row>
    <row r="406" spans="1:45" s="1" customFormat="1" x14ac:dyDescent="0.25">
      <c r="A406" s="205">
        <v>302010303</v>
      </c>
      <c r="B406" s="259" t="s">
        <v>1181</v>
      </c>
      <c r="C406" s="261">
        <v>10000000</v>
      </c>
      <c r="D406" s="261">
        <v>0</v>
      </c>
      <c r="E406" s="261">
        <v>0</v>
      </c>
      <c r="F406" s="261">
        <v>0</v>
      </c>
      <c r="G406" s="261">
        <f>+C406+D406-E406+F406</f>
        <v>10000000</v>
      </c>
      <c r="H406" s="261">
        <v>0</v>
      </c>
      <c r="I406" s="261">
        <v>0</v>
      </c>
      <c r="J406" s="261">
        <f t="shared" si="193"/>
        <v>10000000</v>
      </c>
      <c r="K406" s="261">
        <v>0</v>
      </c>
      <c r="L406" s="261">
        <v>0</v>
      </c>
      <c r="M406" s="261">
        <f t="shared" si="198"/>
        <v>0</v>
      </c>
      <c r="N406" s="261">
        <v>0</v>
      </c>
      <c r="O406" s="261">
        <v>0</v>
      </c>
      <c r="P406" s="261">
        <f t="shared" si="196"/>
        <v>0</v>
      </c>
      <c r="Q406" s="177">
        <f t="shared" si="194"/>
        <v>10000000</v>
      </c>
      <c r="R406" s="261">
        <f t="shared" si="197"/>
        <v>0</v>
      </c>
      <c r="S406" s="257"/>
      <c r="T406" s="185">
        <v>302010303</v>
      </c>
      <c r="U406" s="259" t="s">
        <v>1181</v>
      </c>
      <c r="V406" s="261">
        <v>10000000</v>
      </c>
      <c r="W406" s="261">
        <v>0</v>
      </c>
      <c r="X406" s="261">
        <v>0</v>
      </c>
      <c r="Y406" s="261">
        <v>0</v>
      </c>
      <c r="Z406" s="261">
        <v>10000000</v>
      </c>
      <c r="AA406" s="261">
        <v>0</v>
      </c>
      <c r="AB406" s="261">
        <v>0</v>
      </c>
      <c r="AC406" s="261">
        <v>10000000</v>
      </c>
      <c r="AD406" s="261">
        <v>0</v>
      </c>
      <c r="AE406" s="261">
        <v>0</v>
      </c>
      <c r="AF406" s="261">
        <v>0</v>
      </c>
      <c r="AG406" s="261">
        <v>0</v>
      </c>
      <c r="AH406" s="261">
        <v>0</v>
      </c>
      <c r="AI406" s="261">
        <v>0</v>
      </c>
      <c r="AJ406" s="261">
        <v>10000000</v>
      </c>
      <c r="AK406" s="261">
        <v>0</v>
      </c>
      <c r="AL406" s="261">
        <v>0</v>
      </c>
      <c r="AM406" s="261">
        <v>0</v>
      </c>
      <c r="AN406" s="261">
        <v>0</v>
      </c>
      <c r="AO406" s="261">
        <v>0</v>
      </c>
      <c r="AP406" s="261">
        <v>10000000</v>
      </c>
      <c r="AQ406" s="261"/>
      <c r="AS406" s="261"/>
    </row>
    <row r="407" spans="1:45" s="1" customFormat="1" x14ac:dyDescent="0.25">
      <c r="A407" s="7">
        <v>302010304</v>
      </c>
      <c r="B407" s="8" t="s">
        <v>634</v>
      </c>
      <c r="C407" s="9">
        <f>+C408</f>
        <v>20000000</v>
      </c>
      <c r="D407" s="9">
        <f t="shared" ref="D407:R407" si="202">+D408</f>
        <v>0</v>
      </c>
      <c r="E407" s="9">
        <f t="shared" si="202"/>
        <v>0</v>
      </c>
      <c r="F407" s="9">
        <f t="shared" si="202"/>
        <v>0</v>
      </c>
      <c r="G407" s="9">
        <f t="shared" si="202"/>
        <v>20000000</v>
      </c>
      <c r="H407" s="9">
        <f t="shared" si="202"/>
        <v>0</v>
      </c>
      <c r="I407" s="9">
        <f t="shared" si="202"/>
        <v>0</v>
      </c>
      <c r="J407" s="9">
        <f t="shared" si="193"/>
        <v>20000000</v>
      </c>
      <c r="K407" s="9">
        <f t="shared" si="202"/>
        <v>0</v>
      </c>
      <c r="L407" s="9">
        <f t="shared" si="202"/>
        <v>0</v>
      </c>
      <c r="M407" s="9">
        <f t="shared" si="202"/>
        <v>0</v>
      </c>
      <c r="N407" s="9">
        <f t="shared" si="202"/>
        <v>0</v>
      </c>
      <c r="O407" s="9">
        <f t="shared" si="202"/>
        <v>0</v>
      </c>
      <c r="P407" s="9">
        <f t="shared" si="202"/>
        <v>0</v>
      </c>
      <c r="Q407" s="9">
        <f t="shared" si="194"/>
        <v>20000000</v>
      </c>
      <c r="R407" s="9">
        <f t="shared" si="202"/>
        <v>0</v>
      </c>
      <c r="S407" s="257"/>
      <c r="T407" s="185">
        <v>302010304</v>
      </c>
      <c r="U407" s="259" t="s">
        <v>634</v>
      </c>
      <c r="V407" s="261">
        <v>20000000</v>
      </c>
      <c r="W407" s="261">
        <v>0</v>
      </c>
      <c r="X407" s="261">
        <v>0</v>
      </c>
      <c r="Y407" s="261">
        <v>0</v>
      </c>
      <c r="Z407" s="261">
        <v>20000000</v>
      </c>
      <c r="AA407" s="261">
        <v>0</v>
      </c>
      <c r="AB407" s="261">
        <v>0</v>
      </c>
      <c r="AC407" s="261">
        <v>20000000</v>
      </c>
      <c r="AD407" s="261">
        <v>0</v>
      </c>
      <c r="AE407" s="261">
        <v>0</v>
      </c>
      <c r="AF407" s="261">
        <v>0</v>
      </c>
      <c r="AG407" s="261">
        <v>0</v>
      </c>
      <c r="AH407" s="261">
        <v>0</v>
      </c>
      <c r="AI407" s="261">
        <v>0</v>
      </c>
      <c r="AJ407" s="261">
        <v>20000000</v>
      </c>
      <c r="AK407" s="261">
        <v>0</v>
      </c>
      <c r="AL407" s="261">
        <v>0</v>
      </c>
      <c r="AM407" s="261">
        <v>0</v>
      </c>
      <c r="AN407" s="261">
        <v>0</v>
      </c>
      <c r="AO407" s="261">
        <v>0</v>
      </c>
      <c r="AP407" s="261">
        <v>20000000</v>
      </c>
      <c r="AQ407" s="9"/>
      <c r="AS407" s="9"/>
    </row>
    <row r="408" spans="1:45" x14ac:dyDescent="0.25">
      <c r="A408" s="204">
        <v>30201030403</v>
      </c>
      <c r="B408" s="259" t="s">
        <v>635</v>
      </c>
      <c r="C408" s="261">
        <v>20000000</v>
      </c>
      <c r="D408" s="261">
        <v>0</v>
      </c>
      <c r="E408" s="261">
        <v>0</v>
      </c>
      <c r="F408" s="261">
        <v>0</v>
      </c>
      <c r="G408" s="261">
        <f>+C408+D408-E408+F408</f>
        <v>20000000</v>
      </c>
      <c r="H408" s="261">
        <v>0</v>
      </c>
      <c r="I408" s="261">
        <v>0</v>
      </c>
      <c r="J408" s="261">
        <f t="shared" si="193"/>
        <v>20000000</v>
      </c>
      <c r="K408" s="261">
        <v>0</v>
      </c>
      <c r="L408" s="261">
        <v>0</v>
      </c>
      <c r="M408" s="261">
        <f t="shared" si="198"/>
        <v>0</v>
      </c>
      <c r="N408" s="261">
        <v>0</v>
      </c>
      <c r="O408" s="261">
        <v>0</v>
      </c>
      <c r="P408" s="261">
        <f t="shared" si="196"/>
        <v>0</v>
      </c>
      <c r="Q408" s="177">
        <f t="shared" si="194"/>
        <v>20000000</v>
      </c>
      <c r="R408" s="261">
        <f t="shared" si="197"/>
        <v>0</v>
      </c>
      <c r="S408" s="1"/>
      <c r="T408" s="185">
        <v>30201030403</v>
      </c>
      <c r="U408" s="259" t="s">
        <v>635</v>
      </c>
      <c r="V408" s="261">
        <v>20000000</v>
      </c>
      <c r="W408" s="261">
        <v>0</v>
      </c>
      <c r="X408" s="261">
        <v>0</v>
      </c>
      <c r="Y408" s="261">
        <v>0</v>
      </c>
      <c r="Z408" s="261">
        <v>20000000</v>
      </c>
      <c r="AA408" s="261">
        <v>0</v>
      </c>
      <c r="AB408" s="261">
        <v>0</v>
      </c>
      <c r="AC408" s="261">
        <v>20000000</v>
      </c>
      <c r="AD408" s="261">
        <v>0</v>
      </c>
      <c r="AE408" s="261">
        <v>0</v>
      </c>
      <c r="AF408" s="261">
        <v>0</v>
      </c>
      <c r="AG408" s="261">
        <v>0</v>
      </c>
      <c r="AH408" s="261">
        <v>0</v>
      </c>
      <c r="AI408" s="261">
        <v>0</v>
      </c>
      <c r="AJ408" s="261">
        <v>20000000</v>
      </c>
      <c r="AK408" s="261">
        <v>0</v>
      </c>
      <c r="AL408" s="261">
        <v>0</v>
      </c>
      <c r="AM408" s="261">
        <v>0</v>
      </c>
      <c r="AN408" s="261">
        <v>0</v>
      </c>
      <c r="AO408" s="261">
        <v>0</v>
      </c>
      <c r="AP408" s="261">
        <v>20000000</v>
      </c>
      <c r="AQ408" s="261"/>
      <c r="AS408" s="261"/>
    </row>
    <row r="409" spans="1:45" s="1" customFormat="1" x14ac:dyDescent="0.25">
      <c r="A409" s="7">
        <v>3020104</v>
      </c>
      <c r="B409" s="8" t="s">
        <v>636</v>
      </c>
      <c r="C409" s="9">
        <f>+C410+C412+C415+C417</f>
        <v>250000000</v>
      </c>
      <c r="D409" s="9">
        <f t="shared" ref="D409:R409" si="203">+D410+D412+D415+D417</f>
        <v>0</v>
      </c>
      <c r="E409" s="9">
        <f t="shared" si="203"/>
        <v>0</v>
      </c>
      <c r="F409" s="9">
        <f t="shared" si="203"/>
        <v>0</v>
      </c>
      <c r="G409" s="9">
        <f t="shared" si="203"/>
        <v>250000000</v>
      </c>
      <c r="H409" s="9">
        <f t="shared" si="203"/>
        <v>0</v>
      </c>
      <c r="I409" s="9">
        <f t="shared" si="203"/>
        <v>50000000</v>
      </c>
      <c r="J409" s="9">
        <f t="shared" si="193"/>
        <v>200000000</v>
      </c>
      <c r="K409" s="9">
        <f t="shared" si="203"/>
        <v>0</v>
      </c>
      <c r="L409" s="9">
        <f t="shared" si="203"/>
        <v>44791011</v>
      </c>
      <c r="M409" s="9">
        <f t="shared" si="203"/>
        <v>5208989</v>
      </c>
      <c r="N409" s="9">
        <f t="shared" si="203"/>
        <v>0</v>
      </c>
      <c r="O409" s="9">
        <f t="shared" si="203"/>
        <v>50000000</v>
      </c>
      <c r="P409" s="9">
        <f t="shared" si="203"/>
        <v>0</v>
      </c>
      <c r="Q409" s="9">
        <f t="shared" si="194"/>
        <v>200000000</v>
      </c>
      <c r="R409" s="9">
        <f t="shared" si="203"/>
        <v>44791011</v>
      </c>
      <c r="S409" s="257"/>
      <c r="T409" s="185">
        <v>3020104</v>
      </c>
      <c r="U409" s="259" t="s">
        <v>636</v>
      </c>
      <c r="V409" s="261">
        <v>250000000</v>
      </c>
      <c r="W409" s="261">
        <v>0</v>
      </c>
      <c r="X409" s="261">
        <v>0</v>
      </c>
      <c r="Y409" s="261">
        <v>0</v>
      </c>
      <c r="Z409" s="261">
        <v>250000000</v>
      </c>
      <c r="AA409" s="261">
        <v>0</v>
      </c>
      <c r="AB409" s="261">
        <v>50000000</v>
      </c>
      <c r="AC409" s="261">
        <v>200000000</v>
      </c>
      <c r="AD409" s="261">
        <v>0</v>
      </c>
      <c r="AE409" s="261">
        <v>44791011</v>
      </c>
      <c r="AF409" s="261">
        <v>5208989</v>
      </c>
      <c r="AG409" s="261">
        <v>0</v>
      </c>
      <c r="AH409" s="261">
        <v>50000000</v>
      </c>
      <c r="AI409" s="261">
        <v>0</v>
      </c>
      <c r="AJ409" s="261">
        <v>200000000</v>
      </c>
      <c r="AK409" s="261">
        <v>0</v>
      </c>
      <c r="AL409" s="261">
        <v>0</v>
      </c>
      <c r="AM409" s="261">
        <v>50000000</v>
      </c>
      <c r="AN409" s="261">
        <v>50000000</v>
      </c>
      <c r="AO409" s="261">
        <v>0</v>
      </c>
      <c r="AP409" s="261">
        <v>200000000</v>
      </c>
      <c r="AQ409" s="9"/>
      <c r="AS409" s="9"/>
    </row>
    <row r="410" spans="1:45" x14ac:dyDescent="0.25">
      <c r="A410" s="7">
        <v>302010401</v>
      </c>
      <c r="B410" s="8" t="s">
        <v>637</v>
      </c>
      <c r="C410" s="9">
        <f>+C411</f>
        <v>110000000</v>
      </c>
      <c r="D410" s="9">
        <f t="shared" ref="D410:R410" si="204">+D411</f>
        <v>0</v>
      </c>
      <c r="E410" s="9">
        <f t="shared" si="204"/>
        <v>0</v>
      </c>
      <c r="F410" s="9">
        <f t="shared" si="204"/>
        <v>0</v>
      </c>
      <c r="G410" s="9">
        <f t="shared" si="204"/>
        <v>110000000</v>
      </c>
      <c r="H410" s="9">
        <f t="shared" si="204"/>
        <v>0</v>
      </c>
      <c r="I410" s="9">
        <f t="shared" si="204"/>
        <v>0</v>
      </c>
      <c r="J410" s="9">
        <f t="shared" si="193"/>
        <v>110000000</v>
      </c>
      <c r="K410" s="9">
        <f t="shared" si="204"/>
        <v>0</v>
      </c>
      <c r="L410" s="9">
        <f t="shared" si="204"/>
        <v>0</v>
      </c>
      <c r="M410" s="9">
        <f t="shared" si="204"/>
        <v>0</v>
      </c>
      <c r="N410" s="9">
        <f t="shared" si="204"/>
        <v>0</v>
      </c>
      <c r="O410" s="9">
        <f t="shared" si="204"/>
        <v>0</v>
      </c>
      <c r="P410" s="9">
        <f t="shared" si="204"/>
        <v>0</v>
      </c>
      <c r="Q410" s="9">
        <f t="shared" si="194"/>
        <v>110000000</v>
      </c>
      <c r="R410" s="9">
        <f t="shared" si="204"/>
        <v>0</v>
      </c>
      <c r="S410" s="1"/>
      <c r="T410" s="185">
        <v>302010401</v>
      </c>
      <c r="U410" s="259" t="s">
        <v>637</v>
      </c>
      <c r="V410" s="261">
        <v>110000000</v>
      </c>
      <c r="W410" s="261">
        <v>0</v>
      </c>
      <c r="X410" s="261">
        <v>0</v>
      </c>
      <c r="Y410" s="261">
        <v>0</v>
      </c>
      <c r="Z410" s="261">
        <v>110000000</v>
      </c>
      <c r="AA410" s="261">
        <v>0</v>
      </c>
      <c r="AB410" s="261">
        <v>0</v>
      </c>
      <c r="AC410" s="261">
        <v>110000000</v>
      </c>
      <c r="AD410" s="261">
        <v>0</v>
      </c>
      <c r="AE410" s="261">
        <v>0</v>
      </c>
      <c r="AF410" s="261">
        <v>0</v>
      </c>
      <c r="AG410" s="261">
        <v>0</v>
      </c>
      <c r="AH410" s="261">
        <v>0</v>
      </c>
      <c r="AI410" s="261">
        <v>0</v>
      </c>
      <c r="AJ410" s="261">
        <v>110000000</v>
      </c>
      <c r="AK410" s="261">
        <v>0</v>
      </c>
      <c r="AL410" s="261">
        <v>0</v>
      </c>
      <c r="AM410" s="261">
        <v>0</v>
      </c>
      <c r="AN410" s="261">
        <v>0</v>
      </c>
      <c r="AO410" s="261">
        <v>0</v>
      </c>
      <c r="AP410" s="261">
        <v>110000000</v>
      </c>
      <c r="AQ410" s="9"/>
      <c r="AS410" s="9"/>
    </row>
    <row r="411" spans="1:45" x14ac:dyDescent="0.25">
      <c r="A411" s="205">
        <v>30201040101</v>
      </c>
      <c r="B411" s="259" t="s">
        <v>638</v>
      </c>
      <c r="C411" s="261">
        <v>110000000</v>
      </c>
      <c r="D411" s="261">
        <v>0</v>
      </c>
      <c r="E411" s="261">
        <v>0</v>
      </c>
      <c r="F411" s="261">
        <v>0</v>
      </c>
      <c r="G411" s="261">
        <f>+C411+D411-E411+F411</f>
        <v>110000000</v>
      </c>
      <c r="H411" s="261">
        <v>0</v>
      </c>
      <c r="I411" s="261">
        <v>0</v>
      </c>
      <c r="J411" s="261">
        <f t="shared" si="193"/>
        <v>110000000</v>
      </c>
      <c r="K411" s="261">
        <v>0</v>
      </c>
      <c r="L411" s="261">
        <v>0</v>
      </c>
      <c r="M411" s="261">
        <f t="shared" si="198"/>
        <v>0</v>
      </c>
      <c r="N411" s="261">
        <v>0</v>
      </c>
      <c r="O411" s="261">
        <v>0</v>
      </c>
      <c r="P411" s="261">
        <f t="shared" si="196"/>
        <v>0</v>
      </c>
      <c r="Q411" s="177">
        <f t="shared" si="194"/>
        <v>110000000</v>
      </c>
      <c r="R411" s="261">
        <f t="shared" si="197"/>
        <v>0</v>
      </c>
      <c r="S411" s="1"/>
      <c r="T411" s="185">
        <v>30201040101</v>
      </c>
      <c r="U411" s="259" t="s">
        <v>638</v>
      </c>
      <c r="V411" s="261">
        <v>110000000</v>
      </c>
      <c r="W411" s="261">
        <v>0</v>
      </c>
      <c r="X411" s="261">
        <v>0</v>
      </c>
      <c r="Y411" s="261">
        <v>0</v>
      </c>
      <c r="Z411" s="261">
        <v>110000000</v>
      </c>
      <c r="AA411" s="261">
        <v>0</v>
      </c>
      <c r="AB411" s="261">
        <v>0</v>
      </c>
      <c r="AC411" s="261">
        <v>110000000</v>
      </c>
      <c r="AD411" s="261">
        <v>0</v>
      </c>
      <c r="AE411" s="261">
        <v>0</v>
      </c>
      <c r="AF411" s="261">
        <v>0</v>
      </c>
      <c r="AG411" s="261">
        <v>0</v>
      </c>
      <c r="AH411" s="261">
        <v>0</v>
      </c>
      <c r="AI411" s="261">
        <v>0</v>
      </c>
      <c r="AJ411" s="261">
        <v>110000000</v>
      </c>
      <c r="AK411" s="261">
        <v>0</v>
      </c>
      <c r="AL411" s="261">
        <v>0</v>
      </c>
      <c r="AM411" s="261">
        <v>0</v>
      </c>
      <c r="AN411" s="261">
        <v>0</v>
      </c>
      <c r="AO411" s="261">
        <v>0</v>
      </c>
      <c r="AP411" s="261">
        <v>110000000</v>
      </c>
      <c r="AQ411" s="261"/>
      <c r="AS411" s="261"/>
    </row>
    <row r="412" spans="1:45" s="1" customFormat="1" x14ac:dyDescent="0.25">
      <c r="A412" s="7">
        <v>302010402</v>
      </c>
      <c r="B412" s="8" t="s">
        <v>639</v>
      </c>
      <c r="C412" s="9">
        <f>+C413+C414</f>
        <v>70000000</v>
      </c>
      <c r="D412" s="9">
        <f t="shared" ref="D412:R412" si="205">+D413+D414</f>
        <v>0</v>
      </c>
      <c r="E412" s="9">
        <f t="shared" si="205"/>
        <v>0</v>
      </c>
      <c r="F412" s="9">
        <f t="shared" si="205"/>
        <v>0</v>
      </c>
      <c r="G412" s="9">
        <f t="shared" si="205"/>
        <v>70000000</v>
      </c>
      <c r="H412" s="9">
        <f t="shared" si="205"/>
        <v>0</v>
      </c>
      <c r="I412" s="9">
        <f t="shared" si="205"/>
        <v>50000000</v>
      </c>
      <c r="J412" s="9">
        <f t="shared" si="193"/>
        <v>20000000</v>
      </c>
      <c r="K412" s="9">
        <f t="shared" si="205"/>
        <v>0</v>
      </c>
      <c r="L412" s="9">
        <f t="shared" si="205"/>
        <v>44791011</v>
      </c>
      <c r="M412" s="9">
        <f t="shared" si="205"/>
        <v>5208989</v>
      </c>
      <c r="N412" s="9">
        <f t="shared" si="205"/>
        <v>0</v>
      </c>
      <c r="O412" s="9">
        <f t="shared" si="205"/>
        <v>50000000</v>
      </c>
      <c r="P412" s="9">
        <f t="shared" si="205"/>
        <v>0</v>
      </c>
      <c r="Q412" s="9">
        <f t="shared" si="194"/>
        <v>20000000</v>
      </c>
      <c r="R412" s="9">
        <f t="shared" si="205"/>
        <v>44791011</v>
      </c>
      <c r="S412" s="257"/>
      <c r="T412" s="185">
        <v>302010402</v>
      </c>
      <c r="U412" s="259" t="s">
        <v>639</v>
      </c>
      <c r="V412" s="261">
        <v>70000000</v>
      </c>
      <c r="W412" s="261">
        <v>0</v>
      </c>
      <c r="X412" s="261">
        <v>0</v>
      </c>
      <c r="Y412" s="261">
        <v>0</v>
      </c>
      <c r="Z412" s="261">
        <v>70000000</v>
      </c>
      <c r="AA412" s="261">
        <v>0</v>
      </c>
      <c r="AB412" s="261">
        <v>50000000</v>
      </c>
      <c r="AC412" s="261">
        <v>20000000</v>
      </c>
      <c r="AD412" s="261">
        <v>0</v>
      </c>
      <c r="AE412" s="261">
        <v>44791011</v>
      </c>
      <c r="AF412" s="261">
        <v>5208989</v>
      </c>
      <c r="AG412" s="261">
        <v>0</v>
      </c>
      <c r="AH412" s="261">
        <v>50000000</v>
      </c>
      <c r="AI412" s="261">
        <v>0</v>
      </c>
      <c r="AJ412" s="261">
        <v>20000000</v>
      </c>
      <c r="AK412" s="261">
        <v>0</v>
      </c>
      <c r="AL412" s="261">
        <v>0</v>
      </c>
      <c r="AM412" s="261">
        <v>50000000</v>
      </c>
      <c r="AN412" s="261">
        <v>50000000</v>
      </c>
      <c r="AO412" s="261">
        <v>0</v>
      </c>
      <c r="AP412" s="261">
        <v>20000000</v>
      </c>
      <c r="AQ412" s="9"/>
      <c r="AS412" s="9"/>
    </row>
    <row r="413" spans="1:45" x14ac:dyDescent="0.25">
      <c r="A413" s="205">
        <v>30201040201</v>
      </c>
      <c r="B413" s="259" t="s">
        <v>640</v>
      </c>
      <c r="C413" s="261">
        <v>20000000</v>
      </c>
      <c r="D413" s="261">
        <v>0</v>
      </c>
      <c r="E413" s="261">
        <v>0</v>
      </c>
      <c r="F413" s="261">
        <v>0</v>
      </c>
      <c r="G413" s="261">
        <f>+C413+D413-E413+F413</f>
        <v>20000000</v>
      </c>
      <c r="H413" s="261">
        <v>0</v>
      </c>
      <c r="I413" s="261">
        <v>0</v>
      </c>
      <c r="J413" s="261">
        <f t="shared" si="193"/>
        <v>20000000</v>
      </c>
      <c r="K413" s="261">
        <v>0</v>
      </c>
      <c r="L413" s="261">
        <v>0</v>
      </c>
      <c r="M413" s="261">
        <f t="shared" si="198"/>
        <v>0</v>
      </c>
      <c r="N413" s="261">
        <v>0</v>
      </c>
      <c r="O413" s="261">
        <v>0</v>
      </c>
      <c r="P413" s="261">
        <f t="shared" si="196"/>
        <v>0</v>
      </c>
      <c r="Q413" s="177">
        <f t="shared" si="194"/>
        <v>20000000</v>
      </c>
      <c r="R413" s="261">
        <f t="shared" si="197"/>
        <v>0</v>
      </c>
      <c r="S413" s="1"/>
      <c r="T413" s="185">
        <v>30201040201</v>
      </c>
      <c r="U413" s="259" t="s">
        <v>640</v>
      </c>
      <c r="V413" s="261">
        <v>20000000</v>
      </c>
      <c r="W413" s="261">
        <v>0</v>
      </c>
      <c r="X413" s="261">
        <v>0</v>
      </c>
      <c r="Y413" s="261">
        <v>0</v>
      </c>
      <c r="Z413" s="261">
        <v>20000000</v>
      </c>
      <c r="AA413" s="261">
        <v>0</v>
      </c>
      <c r="AB413" s="261">
        <v>0</v>
      </c>
      <c r="AC413" s="261">
        <v>20000000</v>
      </c>
      <c r="AD413" s="261">
        <v>0</v>
      </c>
      <c r="AE413" s="261">
        <v>0</v>
      </c>
      <c r="AF413" s="261">
        <v>0</v>
      </c>
      <c r="AG413" s="261">
        <v>0</v>
      </c>
      <c r="AH413" s="261">
        <v>0</v>
      </c>
      <c r="AI413" s="261">
        <v>0</v>
      </c>
      <c r="AJ413" s="261">
        <v>20000000</v>
      </c>
      <c r="AK413" s="261">
        <v>0</v>
      </c>
      <c r="AL413" s="261">
        <v>0</v>
      </c>
      <c r="AM413" s="261">
        <v>0</v>
      </c>
      <c r="AN413" s="261">
        <v>0</v>
      </c>
      <c r="AO413" s="261">
        <v>0</v>
      </c>
      <c r="AP413" s="261">
        <v>20000000</v>
      </c>
      <c r="AQ413" s="261"/>
      <c r="AS413" s="261"/>
    </row>
    <row r="414" spans="1:45" s="1" customFormat="1" x14ac:dyDescent="0.25">
      <c r="A414" s="204">
        <v>30201040203</v>
      </c>
      <c r="B414" s="259" t="s">
        <v>641</v>
      </c>
      <c r="C414" s="261">
        <v>50000000</v>
      </c>
      <c r="D414" s="261">
        <v>0</v>
      </c>
      <c r="E414" s="261">
        <v>0</v>
      </c>
      <c r="F414" s="261">
        <v>0</v>
      </c>
      <c r="G414" s="261">
        <f>+C414+D414-E414+F414</f>
        <v>50000000</v>
      </c>
      <c r="H414" s="261">
        <v>0</v>
      </c>
      <c r="I414" s="261">
        <v>50000000</v>
      </c>
      <c r="J414" s="261">
        <f t="shared" si="193"/>
        <v>0</v>
      </c>
      <c r="K414" s="261">
        <v>0</v>
      </c>
      <c r="L414" s="261">
        <v>44791011</v>
      </c>
      <c r="M414" s="261">
        <f t="shared" si="198"/>
        <v>5208989</v>
      </c>
      <c r="N414" s="261">
        <v>0</v>
      </c>
      <c r="O414" s="261">
        <v>50000000</v>
      </c>
      <c r="P414" s="261">
        <f t="shared" si="196"/>
        <v>0</v>
      </c>
      <c r="Q414" s="177">
        <f t="shared" si="194"/>
        <v>0</v>
      </c>
      <c r="R414" s="261">
        <f t="shared" si="197"/>
        <v>44791011</v>
      </c>
      <c r="S414" s="257"/>
      <c r="T414" s="185">
        <v>30201040203</v>
      </c>
      <c r="U414" s="259" t="s">
        <v>641</v>
      </c>
      <c r="V414" s="261">
        <v>50000000</v>
      </c>
      <c r="W414" s="261">
        <v>0</v>
      </c>
      <c r="X414" s="261">
        <v>0</v>
      </c>
      <c r="Y414" s="261">
        <v>0</v>
      </c>
      <c r="Z414" s="261">
        <v>50000000</v>
      </c>
      <c r="AA414" s="261">
        <v>0</v>
      </c>
      <c r="AB414" s="261">
        <v>50000000</v>
      </c>
      <c r="AC414" s="261">
        <v>0</v>
      </c>
      <c r="AD414" s="261">
        <v>0</v>
      </c>
      <c r="AE414" s="261">
        <v>44791011</v>
      </c>
      <c r="AF414" s="261">
        <v>5208989</v>
      </c>
      <c r="AG414" s="261">
        <v>0</v>
      </c>
      <c r="AH414" s="261">
        <v>50000000</v>
      </c>
      <c r="AI414" s="261">
        <v>0</v>
      </c>
      <c r="AJ414" s="261">
        <v>0</v>
      </c>
      <c r="AK414" s="261">
        <v>0</v>
      </c>
      <c r="AL414" s="261">
        <v>0</v>
      </c>
      <c r="AM414" s="261">
        <v>50000000</v>
      </c>
      <c r="AN414" s="261">
        <v>50000000</v>
      </c>
      <c r="AO414" s="261">
        <v>0</v>
      </c>
      <c r="AP414" s="261">
        <v>0</v>
      </c>
      <c r="AQ414" s="261"/>
      <c r="AS414" s="261"/>
    </row>
    <row r="415" spans="1:45" x14ac:dyDescent="0.25">
      <c r="A415" s="7">
        <v>302010403</v>
      </c>
      <c r="B415" s="8" t="s">
        <v>642</v>
      </c>
      <c r="C415" s="9">
        <f>+C416</f>
        <v>50000000</v>
      </c>
      <c r="D415" s="9">
        <f t="shared" ref="D415:R415" si="206">+D416</f>
        <v>0</v>
      </c>
      <c r="E415" s="9">
        <f t="shared" si="206"/>
        <v>0</v>
      </c>
      <c r="F415" s="9">
        <f t="shared" si="206"/>
        <v>0</v>
      </c>
      <c r="G415" s="9">
        <f t="shared" si="206"/>
        <v>50000000</v>
      </c>
      <c r="H415" s="9">
        <f t="shared" si="206"/>
        <v>0</v>
      </c>
      <c r="I415" s="9">
        <f t="shared" si="206"/>
        <v>0</v>
      </c>
      <c r="J415" s="9">
        <f t="shared" si="193"/>
        <v>50000000</v>
      </c>
      <c r="K415" s="9">
        <f t="shared" si="206"/>
        <v>0</v>
      </c>
      <c r="L415" s="9">
        <f t="shared" si="206"/>
        <v>0</v>
      </c>
      <c r="M415" s="9">
        <f t="shared" si="206"/>
        <v>0</v>
      </c>
      <c r="N415" s="9">
        <f t="shared" si="206"/>
        <v>0</v>
      </c>
      <c r="O415" s="9">
        <f t="shared" si="206"/>
        <v>0</v>
      </c>
      <c r="P415" s="9">
        <f t="shared" si="206"/>
        <v>0</v>
      </c>
      <c r="Q415" s="9">
        <f t="shared" si="194"/>
        <v>50000000</v>
      </c>
      <c r="R415" s="9">
        <f t="shared" si="206"/>
        <v>0</v>
      </c>
      <c r="T415" s="185">
        <v>302010403</v>
      </c>
      <c r="U415" s="259" t="s">
        <v>642</v>
      </c>
      <c r="V415" s="261">
        <v>50000000</v>
      </c>
      <c r="W415" s="261">
        <v>0</v>
      </c>
      <c r="X415" s="261">
        <v>0</v>
      </c>
      <c r="Y415" s="261">
        <v>0</v>
      </c>
      <c r="Z415" s="261">
        <v>50000000</v>
      </c>
      <c r="AA415" s="261">
        <v>0</v>
      </c>
      <c r="AB415" s="261">
        <v>0</v>
      </c>
      <c r="AC415" s="261">
        <v>50000000</v>
      </c>
      <c r="AD415" s="261">
        <v>0</v>
      </c>
      <c r="AE415" s="261">
        <v>0</v>
      </c>
      <c r="AF415" s="261">
        <v>0</v>
      </c>
      <c r="AG415" s="261">
        <v>0</v>
      </c>
      <c r="AH415" s="261">
        <v>0</v>
      </c>
      <c r="AI415" s="261">
        <v>0</v>
      </c>
      <c r="AJ415" s="261">
        <v>50000000</v>
      </c>
      <c r="AK415" s="261">
        <v>0</v>
      </c>
      <c r="AL415" s="261">
        <v>0</v>
      </c>
      <c r="AM415" s="261">
        <v>0</v>
      </c>
      <c r="AN415" s="261">
        <v>0</v>
      </c>
      <c r="AO415" s="261">
        <v>0</v>
      </c>
      <c r="AP415" s="261">
        <v>50000000</v>
      </c>
      <c r="AQ415" s="9"/>
      <c r="AS415" s="9"/>
    </row>
    <row r="416" spans="1:45" s="1" customFormat="1" x14ac:dyDescent="0.25">
      <c r="A416" s="205">
        <v>30201040301</v>
      </c>
      <c r="B416" s="259" t="s">
        <v>643</v>
      </c>
      <c r="C416" s="261">
        <v>50000000</v>
      </c>
      <c r="D416" s="261">
        <v>0</v>
      </c>
      <c r="E416" s="261">
        <v>0</v>
      </c>
      <c r="F416" s="261">
        <v>0</v>
      </c>
      <c r="G416" s="261">
        <f>+C416+D416-E416+F416</f>
        <v>50000000</v>
      </c>
      <c r="H416" s="261">
        <v>0</v>
      </c>
      <c r="I416" s="261">
        <v>0</v>
      </c>
      <c r="J416" s="261">
        <f t="shared" si="193"/>
        <v>50000000</v>
      </c>
      <c r="K416" s="261">
        <v>0</v>
      </c>
      <c r="L416" s="261">
        <v>0</v>
      </c>
      <c r="M416" s="261">
        <f t="shared" si="198"/>
        <v>0</v>
      </c>
      <c r="N416" s="261">
        <v>0</v>
      </c>
      <c r="O416" s="261">
        <v>0</v>
      </c>
      <c r="P416" s="261">
        <f t="shared" si="196"/>
        <v>0</v>
      </c>
      <c r="Q416" s="177">
        <f t="shared" si="194"/>
        <v>50000000</v>
      </c>
      <c r="R416" s="261">
        <f t="shared" si="197"/>
        <v>0</v>
      </c>
      <c r="T416" s="185">
        <v>30201040301</v>
      </c>
      <c r="U416" s="259" t="s">
        <v>643</v>
      </c>
      <c r="V416" s="261">
        <v>50000000</v>
      </c>
      <c r="W416" s="261">
        <v>0</v>
      </c>
      <c r="X416" s="261">
        <v>0</v>
      </c>
      <c r="Y416" s="261">
        <v>0</v>
      </c>
      <c r="Z416" s="261">
        <v>50000000</v>
      </c>
      <c r="AA416" s="261">
        <v>0</v>
      </c>
      <c r="AB416" s="261">
        <v>0</v>
      </c>
      <c r="AC416" s="261">
        <v>50000000</v>
      </c>
      <c r="AD416" s="261">
        <v>0</v>
      </c>
      <c r="AE416" s="261">
        <v>0</v>
      </c>
      <c r="AF416" s="261">
        <v>0</v>
      </c>
      <c r="AG416" s="261">
        <v>0</v>
      </c>
      <c r="AH416" s="261">
        <v>0</v>
      </c>
      <c r="AI416" s="261">
        <v>0</v>
      </c>
      <c r="AJ416" s="261">
        <v>50000000</v>
      </c>
      <c r="AK416" s="261">
        <v>0</v>
      </c>
      <c r="AL416" s="261">
        <v>0</v>
      </c>
      <c r="AM416" s="261">
        <v>0</v>
      </c>
      <c r="AN416" s="261">
        <v>0</v>
      </c>
      <c r="AO416" s="261">
        <v>0</v>
      </c>
      <c r="AP416" s="261">
        <v>50000000</v>
      </c>
      <c r="AQ416" s="261"/>
      <c r="AS416" s="261"/>
    </row>
    <row r="417" spans="1:45" s="1" customFormat="1" x14ac:dyDescent="0.25">
      <c r="A417" s="7">
        <v>302010404</v>
      </c>
      <c r="B417" s="8" t="s">
        <v>644</v>
      </c>
      <c r="C417" s="9">
        <f>+C418</f>
        <v>20000000</v>
      </c>
      <c r="D417" s="9">
        <f t="shared" ref="D417:R417" si="207">+D418</f>
        <v>0</v>
      </c>
      <c r="E417" s="9">
        <f t="shared" si="207"/>
        <v>0</v>
      </c>
      <c r="F417" s="9">
        <f t="shared" si="207"/>
        <v>0</v>
      </c>
      <c r="G417" s="9">
        <f t="shared" si="207"/>
        <v>20000000</v>
      </c>
      <c r="H417" s="9">
        <f t="shared" si="207"/>
        <v>0</v>
      </c>
      <c r="I417" s="9">
        <f t="shared" si="207"/>
        <v>0</v>
      </c>
      <c r="J417" s="9">
        <f t="shared" si="193"/>
        <v>20000000</v>
      </c>
      <c r="K417" s="9">
        <f t="shared" si="207"/>
        <v>0</v>
      </c>
      <c r="L417" s="9">
        <f t="shared" si="207"/>
        <v>0</v>
      </c>
      <c r="M417" s="9">
        <f t="shared" si="207"/>
        <v>0</v>
      </c>
      <c r="N417" s="9">
        <f t="shared" si="207"/>
        <v>0</v>
      </c>
      <c r="O417" s="9">
        <f t="shared" si="207"/>
        <v>0</v>
      </c>
      <c r="P417" s="9">
        <f t="shared" si="207"/>
        <v>0</v>
      </c>
      <c r="Q417" s="9">
        <f t="shared" si="194"/>
        <v>20000000</v>
      </c>
      <c r="R417" s="9">
        <f t="shared" si="207"/>
        <v>0</v>
      </c>
      <c r="S417" s="257"/>
      <c r="T417" s="185">
        <v>302010404</v>
      </c>
      <c r="U417" s="259" t="s">
        <v>644</v>
      </c>
      <c r="V417" s="261">
        <v>20000000</v>
      </c>
      <c r="W417" s="261">
        <v>0</v>
      </c>
      <c r="X417" s="261">
        <v>0</v>
      </c>
      <c r="Y417" s="261">
        <v>0</v>
      </c>
      <c r="Z417" s="261">
        <v>20000000</v>
      </c>
      <c r="AA417" s="261">
        <v>0</v>
      </c>
      <c r="AB417" s="261">
        <v>0</v>
      </c>
      <c r="AC417" s="261">
        <v>20000000</v>
      </c>
      <c r="AD417" s="261">
        <v>0</v>
      </c>
      <c r="AE417" s="261">
        <v>0</v>
      </c>
      <c r="AF417" s="261">
        <v>0</v>
      </c>
      <c r="AG417" s="261">
        <v>0</v>
      </c>
      <c r="AH417" s="261">
        <v>0</v>
      </c>
      <c r="AI417" s="261">
        <v>0</v>
      </c>
      <c r="AJ417" s="261">
        <v>20000000</v>
      </c>
      <c r="AK417" s="261">
        <v>0</v>
      </c>
      <c r="AL417" s="261">
        <v>0</v>
      </c>
      <c r="AM417" s="261">
        <v>0</v>
      </c>
      <c r="AN417" s="261">
        <v>0</v>
      </c>
      <c r="AO417" s="261">
        <v>0</v>
      </c>
      <c r="AP417" s="261">
        <v>20000000</v>
      </c>
      <c r="AQ417" s="9"/>
      <c r="AS417" s="9"/>
    </row>
    <row r="418" spans="1:45" s="1" customFormat="1" x14ac:dyDescent="0.25">
      <c r="A418" s="205">
        <v>30201040401</v>
      </c>
      <c r="B418" s="259" t="s">
        <v>645</v>
      </c>
      <c r="C418" s="261">
        <v>20000000</v>
      </c>
      <c r="D418" s="261">
        <v>0</v>
      </c>
      <c r="E418" s="261">
        <v>0</v>
      </c>
      <c r="F418" s="261">
        <v>0</v>
      </c>
      <c r="G418" s="261">
        <f>+C418+D418-E418+F418</f>
        <v>20000000</v>
      </c>
      <c r="H418" s="261">
        <v>0</v>
      </c>
      <c r="I418" s="261">
        <v>0</v>
      </c>
      <c r="J418" s="261">
        <f t="shared" si="193"/>
        <v>20000000</v>
      </c>
      <c r="K418" s="261">
        <v>0</v>
      </c>
      <c r="L418" s="261">
        <v>0</v>
      </c>
      <c r="M418" s="261">
        <f t="shared" si="198"/>
        <v>0</v>
      </c>
      <c r="N418" s="261">
        <v>0</v>
      </c>
      <c r="O418" s="261">
        <v>0</v>
      </c>
      <c r="P418" s="261">
        <f t="shared" si="196"/>
        <v>0</v>
      </c>
      <c r="Q418" s="177">
        <f t="shared" si="194"/>
        <v>20000000</v>
      </c>
      <c r="R418" s="261">
        <f t="shared" si="197"/>
        <v>0</v>
      </c>
      <c r="T418" s="185">
        <v>30201040401</v>
      </c>
      <c r="U418" s="259" t="s">
        <v>645</v>
      </c>
      <c r="V418" s="261">
        <v>20000000</v>
      </c>
      <c r="W418" s="261">
        <v>0</v>
      </c>
      <c r="X418" s="261">
        <v>0</v>
      </c>
      <c r="Y418" s="261">
        <v>0</v>
      </c>
      <c r="Z418" s="261">
        <v>20000000</v>
      </c>
      <c r="AA418" s="261">
        <v>0</v>
      </c>
      <c r="AB418" s="261">
        <v>0</v>
      </c>
      <c r="AC418" s="261">
        <v>20000000</v>
      </c>
      <c r="AD418" s="261">
        <v>0</v>
      </c>
      <c r="AE418" s="261">
        <v>0</v>
      </c>
      <c r="AF418" s="261">
        <v>0</v>
      </c>
      <c r="AG418" s="261">
        <v>0</v>
      </c>
      <c r="AH418" s="261">
        <v>0</v>
      </c>
      <c r="AI418" s="261">
        <v>0</v>
      </c>
      <c r="AJ418" s="261">
        <v>20000000</v>
      </c>
      <c r="AK418" s="261">
        <v>0</v>
      </c>
      <c r="AL418" s="261">
        <v>0</v>
      </c>
      <c r="AM418" s="261">
        <v>0</v>
      </c>
      <c r="AN418" s="261">
        <v>0</v>
      </c>
      <c r="AO418" s="261">
        <v>0</v>
      </c>
      <c r="AP418" s="261">
        <v>20000000</v>
      </c>
      <c r="AQ418" s="261"/>
      <c r="AS418" s="261"/>
    </row>
    <row r="419" spans="1:45" x14ac:dyDescent="0.25">
      <c r="A419" s="24">
        <v>30202</v>
      </c>
      <c r="B419" s="5" t="s">
        <v>646</v>
      </c>
      <c r="C419" s="6">
        <f>+C420</f>
        <v>111591789</v>
      </c>
      <c r="D419" s="6">
        <f t="shared" ref="D419:R419" si="208">+D420</f>
        <v>0</v>
      </c>
      <c r="E419" s="6">
        <f t="shared" si="208"/>
        <v>0</v>
      </c>
      <c r="F419" s="6">
        <f t="shared" si="208"/>
        <v>0</v>
      </c>
      <c r="G419" s="6">
        <f t="shared" si="208"/>
        <v>111591789</v>
      </c>
      <c r="H419" s="6">
        <f t="shared" si="208"/>
        <v>885720</v>
      </c>
      <c r="I419" s="6">
        <f t="shared" si="208"/>
        <v>3724896</v>
      </c>
      <c r="J419" s="6">
        <f t="shared" si="193"/>
        <v>107866893</v>
      </c>
      <c r="K419" s="6">
        <f t="shared" si="208"/>
        <v>0</v>
      </c>
      <c r="L419" s="6">
        <f t="shared" si="208"/>
        <v>271316</v>
      </c>
      <c r="M419" s="6">
        <f t="shared" si="208"/>
        <v>3453580</v>
      </c>
      <c r="N419" s="6">
        <f t="shared" si="208"/>
        <v>93960</v>
      </c>
      <c r="O419" s="6">
        <f t="shared" si="208"/>
        <v>23724896</v>
      </c>
      <c r="P419" s="6">
        <f t="shared" si="208"/>
        <v>20000000</v>
      </c>
      <c r="Q419" s="6">
        <f t="shared" si="194"/>
        <v>87866893</v>
      </c>
      <c r="R419" s="6">
        <f t="shared" si="208"/>
        <v>271316</v>
      </c>
      <c r="T419" s="185">
        <v>30202</v>
      </c>
      <c r="U419" s="259" t="s">
        <v>646</v>
      </c>
      <c r="V419" s="261">
        <v>111591789</v>
      </c>
      <c r="W419" s="261">
        <v>0</v>
      </c>
      <c r="X419" s="261">
        <v>0</v>
      </c>
      <c r="Y419" s="261">
        <v>0</v>
      </c>
      <c r="Z419" s="261">
        <v>111591789</v>
      </c>
      <c r="AA419" s="261">
        <v>885720</v>
      </c>
      <c r="AB419" s="261">
        <v>3724896</v>
      </c>
      <c r="AC419" s="261">
        <v>107866893</v>
      </c>
      <c r="AD419" s="261">
        <v>0</v>
      </c>
      <c r="AE419" s="261">
        <v>271316</v>
      </c>
      <c r="AF419" s="261">
        <v>3453580</v>
      </c>
      <c r="AG419" s="261">
        <v>93960</v>
      </c>
      <c r="AH419" s="261">
        <v>23724896</v>
      </c>
      <c r="AI419" s="261">
        <v>20000000</v>
      </c>
      <c r="AJ419" s="261">
        <v>87866893</v>
      </c>
      <c r="AK419" s="261">
        <v>0</v>
      </c>
      <c r="AL419" s="261">
        <v>93960</v>
      </c>
      <c r="AM419" s="261">
        <v>23724896</v>
      </c>
      <c r="AN419" s="261">
        <v>23724896</v>
      </c>
      <c r="AO419" s="261">
        <v>20000000</v>
      </c>
      <c r="AP419" s="261">
        <v>87866893</v>
      </c>
      <c r="AQ419" s="6"/>
      <c r="AS419" s="6"/>
    </row>
    <row r="420" spans="1:45" s="1" customFormat="1" x14ac:dyDescent="0.25">
      <c r="A420" s="7">
        <v>3020201</v>
      </c>
      <c r="B420" s="8" t="s">
        <v>647</v>
      </c>
      <c r="C420" s="9">
        <f>+C421+C424</f>
        <v>111591789</v>
      </c>
      <c r="D420" s="9">
        <f t="shared" ref="D420:R420" si="209">+D421+D424</f>
        <v>0</v>
      </c>
      <c r="E420" s="9">
        <f t="shared" si="209"/>
        <v>0</v>
      </c>
      <c r="F420" s="9">
        <f t="shared" si="209"/>
        <v>0</v>
      </c>
      <c r="G420" s="9">
        <f t="shared" si="209"/>
        <v>111591789</v>
      </c>
      <c r="H420" s="9">
        <f t="shared" si="209"/>
        <v>885720</v>
      </c>
      <c r="I420" s="9">
        <f t="shared" si="209"/>
        <v>3724896</v>
      </c>
      <c r="J420" s="9">
        <f t="shared" si="193"/>
        <v>107866893</v>
      </c>
      <c r="K420" s="9">
        <f t="shared" si="209"/>
        <v>0</v>
      </c>
      <c r="L420" s="9">
        <f t="shared" si="209"/>
        <v>271316</v>
      </c>
      <c r="M420" s="9">
        <f t="shared" si="209"/>
        <v>3453580</v>
      </c>
      <c r="N420" s="9">
        <f t="shared" si="209"/>
        <v>93960</v>
      </c>
      <c r="O420" s="9">
        <f t="shared" si="209"/>
        <v>23724896</v>
      </c>
      <c r="P420" s="9">
        <f t="shared" si="209"/>
        <v>20000000</v>
      </c>
      <c r="Q420" s="9">
        <f t="shared" si="194"/>
        <v>87866893</v>
      </c>
      <c r="R420" s="9">
        <f t="shared" si="209"/>
        <v>271316</v>
      </c>
      <c r="T420" s="185">
        <v>3020201</v>
      </c>
      <c r="U420" s="259" t="s">
        <v>647</v>
      </c>
      <c r="V420" s="261">
        <v>111591789</v>
      </c>
      <c r="W420" s="261">
        <v>0</v>
      </c>
      <c r="X420" s="261">
        <v>0</v>
      </c>
      <c r="Y420" s="261">
        <v>0</v>
      </c>
      <c r="Z420" s="261">
        <v>111591789</v>
      </c>
      <c r="AA420" s="261">
        <v>885720</v>
      </c>
      <c r="AB420" s="261">
        <v>3724896</v>
      </c>
      <c r="AC420" s="261">
        <v>107866893</v>
      </c>
      <c r="AD420" s="261">
        <v>0</v>
      </c>
      <c r="AE420" s="261">
        <v>271316</v>
      </c>
      <c r="AF420" s="261">
        <v>3453580</v>
      </c>
      <c r="AG420" s="261">
        <v>93960</v>
      </c>
      <c r="AH420" s="261">
        <v>23724896</v>
      </c>
      <c r="AI420" s="261">
        <v>20000000</v>
      </c>
      <c r="AJ420" s="261">
        <v>87866893</v>
      </c>
      <c r="AK420" s="261">
        <v>0</v>
      </c>
      <c r="AL420" s="261">
        <v>93960</v>
      </c>
      <c r="AM420" s="261">
        <v>23724896</v>
      </c>
      <c r="AN420" s="261">
        <v>23724896</v>
      </c>
      <c r="AO420" s="261">
        <v>20000000</v>
      </c>
      <c r="AP420" s="261">
        <v>87866893</v>
      </c>
      <c r="AQ420" s="9"/>
      <c r="AS420" s="9"/>
    </row>
    <row r="421" spans="1:45" s="1" customFormat="1" x14ac:dyDescent="0.25">
      <c r="A421" s="7">
        <v>302020101</v>
      </c>
      <c r="B421" s="8" t="s">
        <v>648</v>
      </c>
      <c r="C421" s="9">
        <f>+C422+C423</f>
        <v>81591789</v>
      </c>
      <c r="D421" s="9">
        <f t="shared" ref="D421:R421" si="210">+D422+D423</f>
        <v>0</v>
      </c>
      <c r="E421" s="9">
        <f t="shared" si="210"/>
        <v>0</v>
      </c>
      <c r="F421" s="9">
        <f t="shared" si="210"/>
        <v>0</v>
      </c>
      <c r="G421" s="9">
        <f t="shared" si="210"/>
        <v>81591789</v>
      </c>
      <c r="H421" s="9">
        <f t="shared" si="210"/>
        <v>885720</v>
      </c>
      <c r="I421" s="9">
        <f t="shared" si="210"/>
        <v>3724896</v>
      </c>
      <c r="J421" s="9">
        <f t="shared" si="193"/>
        <v>77866893</v>
      </c>
      <c r="K421" s="9">
        <f t="shared" si="210"/>
        <v>0</v>
      </c>
      <c r="L421" s="9">
        <f t="shared" si="210"/>
        <v>271316</v>
      </c>
      <c r="M421" s="9">
        <f t="shared" si="210"/>
        <v>3453580</v>
      </c>
      <c r="N421" s="9">
        <f t="shared" si="210"/>
        <v>93960</v>
      </c>
      <c r="O421" s="9">
        <f t="shared" si="210"/>
        <v>23724896</v>
      </c>
      <c r="P421" s="9">
        <f t="shared" si="210"/>
        <v>20000000</v>
      </c>
      <c r="Q421" s="9">
        <f t="shared" si="194"/>
        <v>57866893</v>
      </c>
      <c r="R421" s="9">
        <f t="shared" si="210"/>
        <v>271316</v>
      </c>
      <c r="T421" s="185">
        <v>302020101</v>
      </c>
      <c r="U421" s="259" t="s">
        <v>648</v>
      </c>
      <c r="V421" s="261">
        <v>81591789</v>
      </c>
      <c r="W421" s="261">
        <v>0</v>
      </c>
      <c r="X421" s="261">
        <v>0</v>
      </c>
      <c r="Y421" s="261">
        <v>0</v>
      </c>
      <c r="Z421" s="261">
        <v>81591789</v>
      </c>
      <c r="AA421" s="261">
        <v>885720</v>
      </c>
      <c r="AB421" s="261">
        <v>3724896</v>
      </c>
      <c r="AC421" s="261">
        <v>77866893</v>
      </c>
      <c r="AD421" s="261">
        <v>0</v>
      </c>
      <c r="AE421" s="261">
        <v>271316</v>
      </c>
      <c r="AF421" s="261">
        <v>3453580</v>
      </c>
      <c r="AG421" s="261">
        <v>93960</v>
      </c>
      <c r="AH421" s="261">
        <v>23724896</v>
      </c>
      <c r="AI421" s="261">
        <v>20000000</v>
      </c>
      <c r="AJ421" s="261">
        <v>57866893</v>
      </c>
      <c r="AK421" s="261">
        <v>0</v>
      </c>
      <c r="AL421" s="261">
        <v>93960</v>
      </c>
      <c r="AM421" s="261">
        <v>23724896</v>
      </c>
      <c r="AN421" s="261">
        <v>23724896</v>
      </c>
      <c r="AO421" s="261">
        <v>20000000</v>
      </c>
      <c r="AP421" s="261">
        <v>57866893</v>
      </c>
      <c r="AQ421" s="9"/>
      <c r="AS421" s="9"/>
    </row>
    <row r="422" spans="1:45" x14ac:dyDescent="0.25">
      <c r="A422" s="205">
        <v>30202010101</v>
      </c>
      <c r="B422" s="259" t="s">
        <v>649</v>
      </c>
      <c r="C422" s="261">
        <v>40000000</v>
      </c>
      <c r="D422" s="261">
        <v>0</v>
      </c>
      <c r="E422" s="261">
        <v>0</v>
      </c>
      <c r="F422" s="261">
        <v>0</v>
      </c>
      <c r="G422" s="261">
        <f>+C422+D422-E422+F422</f>
        <v>40000000</v>
      </c>
      <c r="H422" s="261">
        <v>0</v>
      </c>
      <c r="I422" s="261">
        <v>0</v>
      </c>
      <c r="J422" s="261">
        <f t="shared" si="193"/>
        <v>40000000</v>
      </c>
      <c r="K422" s="261">
        <v>0</v>
      </c>
      <c r="L422" s="261">
        <v>0</v>
      </c>
      <c r="M422" s="261">
        <f t="shared" si="198"/>
        <v>0</v>
      </c>
      <c r="N422" s="261">
        <v>0</v>
      </c>
      <c r="O422" s="261">
        <v>0</v>
      </c>
      <c r="P422" s="261">
        <f t="shared" si="196"/>
        <v>0</v>
      </c>
      <c r="Q422" s="177">
        <f t="shared" si="194"/>
        <v>40000000</v>
      </c>
      <c r="R422" s="261">
        <f t="shared" si="197"/>
        <v>0</v>
      </c>
      <c r="S422" s="1"/>
      <c r="T422" s="185">
        <v>30202010101</v>
      </c>
      <c r="U422" s="259" t="s">
        <v>649</v>
      </c>
      <c r="V422" s="261">
        <v>40000000</v>
      </c>
      <c r="W422" s="261">
        <v>0</v>
      </c>
      <c r="X422" s="261">
        <v>0</v>
      </c>
      <c r="Y422" s="261">
        <v>0</v>
      </c>
      <c r="Z422" s="261">
        <v>40000000</v>
      </c>
      <c r="AA422" s="261">
        <v>0</v>
      </c>
      <c r="AB422" s="261">
        <v>0</v>
      </c>
      <c r="AC422" s="261">
        <v>40000000</v>
      </c>
      <c r="AD422" s="261">
        <v>0</v>
      </c>
      <c r="AE422" s="261">
        <v>0</v>
      </c>
      <c r="AF422" s="261">
        <v>0</v>
      </c>
      <c r="AG422" s="261">
        <v>0</v>
      </c>
      <c r="AH422" s="261">
        <v>0</v>
      </c>
      <c r="AI422" s="261">
        <v>0</v>
      </c>
      <c r="AJ422" s="261">
        <v>40000000</v>
      </c>
      <c r="AK422" s="261">
        <v>0</v>
      </c>
      <c r="AL422" s="261">
        <v>0</v>
      </c>
      <c r="AM422" s="261">
        <v>0</v>
      </c>
      <c r="AN422" s="261">
        <v>0</v>
      </c>
      <c r="AO422" s="261">
        <v>0</v>
      </c>
      <c r="AP422" s="261">
        <v>40000000</v>
      </c>
      <c r="AQ422" s="261"/>
      <c r="AS422" s="261"/>
    </row>
    <row r="423" spans="1:45" s="1" customFormat="1" x14ac:dyDescent="0.25">
      <c r="A423" s="206">
        <v>30202010102</v>
      </c>
      <c r="B423" s="259" t="s">
        <v>650</v>
      </c>
      <c r="C423" s="261">
        <v>41591789</v>
      </c>
      <c r="D423" s="261">
        <v>0</v>
      </c>
      <c r="E423" s="261">
        <v>0</v>
      </c>
      <c r="F423" s="261">
        <v>0</v>
      </c>
      <c r="G423" s="261">
        <f>+C423+D423-E423+F423</f>
        <v>41591789</v>
      </c>
      <c r="H423" s="261">
        <v>885720</v>
      </c>
      <c r="I423" s="261">
        <v>3724896</v>
      </c>
      <c r="J423" s="261">
        <f t="shared" si="193"/>
        <v>37866893</v>
      </c>
      <c r="K423" s="261">
        <v>0</v>
      </c>
      <c r="L423" s="261">
        <v>271316</v>
      </c>
      <c r="M423" s="261">
        <f t="shared" si="198"/>
        <v>3453580</v>
      </c>
      <c r="N423" s="261">
        <v>93960</v>
      </c>
      <c r="O423" s="261">
        <v>23724896</v>
      </c>
      <c r="P423" s="261">
        <f t="shared" si="196"/>
        <v>20000000</v>
      </c>
      <c r="Q423" s="177">
        <f t="shared" si="194"/>
        <v>17866893</v>
      </c>
      <c r="R423" s="261">
        <f t="shared" si="197"/>
        <v>271316</v>
      </c>
      <c r="S423" s="257"/>
      <c r="T423" s="185">
        <v>30202010102</v>
      </c>
      <c r="U423" s="259" t="s">
        <v>650</v>
      </c>
      <c r="V423" s="261">
        <v>41591789</v>
      </c>
      <c r="W423" s="261">
        <v>0</v>
      </c>
      <c r="X423" s="261">
        <v>0</v>
      </c>
      <c r="Y423" s="261">
        <v>0</v>
      </c>
      <c r="Z423" s="261">
        <v>41591789</v>
      </c>
      <c r="AA423" s="261">
        <v>885720</v>
      </c>
      <c r="AB423" s="261">
        <v>3724896</v>
      </c>
      <c r="AC423" s="261">
        <v>37866893</v>
      </c>
      <c r="AD423" s="261">
        <v>0</v>
      </c>
      <c r="AE423" s="261">
        <v>271316</v>
      </c>
      <c r="AF423" s="261">
        <v>3453580</v>
      </c>
      <c r="AG423" s="261">
        <v>93960</v>
      </c>
      <c r="AH423" s="261">
        <v>23724896</v>
      </c>
      <c r="AI423" s="261">
        <v>20000000</v>
      </c>
      <c r="AJ423" s="261">
        <v>17866893</v>
      </c>
      <c r="AK423" s="261">
        <v>0</v>
      </c>
      <c r="AL423" s="261">
        <v>93960</v>
      </c>
      <c r="AM423" s="261">
        <v>23724896</v>
      </c>
      <c r="AN423" s="261">
        <v>23724896</v>
      </c>
      <c r="AO423" s="261">
        <v>20000000</v>
      </c>
      <c r="AP423" s="261">
        <v>17866893</v>
      </c>
      <c r="AQ423" s="261"/>
      <c r="AS423" s="261"/>
    </row>
    <row r="424" spans="1:45" s="1" customFormat="1" x14ac:dyDescent="0.25">
      <c r="A424" s="7">
        <v>302020102</v>
      </c>
      <c r="B424" s="8" t="s">
        <v>651</v>
      </c>
      <c r="C424" s="9">
        <f>+C425</f>
        <v>30000000</v>
      </c>
      <c r="D424" s="9">
        <f t="shared" ref="D424:R424" si="211">+D425</f>
        <v>0</v>
      </c>
      <c r="E424" s="9">
        <f t="shared" si="211"/>
        <v>0</v>
      </c>
      <c r="F424" s="9">
        <f t="shared" si="211"/>
        <v>0</v>
      </c>
      <c r="G424" s="9">
        <f t="shared" si="211"/>
        <v>30000000</v>
      </c>
      <c r="H424" s="9">
        <f t="shared" si="211"/>
        <v>0</v>
      </c>
      <c r="I424" s="9">
        <f t="shared" si="211"/>
        <v>0</v>
      </c>
      <c r="J424" s="9">
        <f t="shared" si="193"/>
        <v>30000000</v>
      </c>
      <c r="K424" s="9">
        <f t="shared" si="211"/>
        <v>0</v>
      </c>
      <c r="L424" s="9">
        <f t="shared" si="211"/>
        <v>0</v>
      </c>
      <c r="M424" s="9">
        <f t="shared" si="211"/>
        <v>0</v>
      </c>
      <c r="N424" s="9">
        <f t="shared" si="211"/>
        <v>0</v>
      </c>
      <c r="O424" s="9">
        <f t="shared" si="211"/>
        <v>0</v>
      </c>
      <c r="P424" s="9">
        <f t="shared" si="211"/>
        <v>0</v>
      </c>
      <c r="Q424" s="9">
        <f t="shared" si="194"/>
        <v>30000000</v>
      </c>
      <c r="R424" s="9">
        <f t="shared" si="211"/>
        <v>0</v>
      </c>
      <c r="T424" s="185">
        <v>302020102</v>
      </c>
      <c r="U424" s="259" t="s">
        <v>651</v>
      </c>
      <c r="V424" s="261">
        <v>30000000</v>
      </c>
      <c r="W424" s="261">
        <v>0</v>
      </c>
      <c r="X424" s="261">
        <v>0</v>
      </c>
      <c r="Y424" s="261">
        <v>0</v>
      </c>
      <c r="Z424" s="261">
        <v>30000000</v>
      </c>
      <c r="AA424" s="261">
        <v>0</v>
      </c>
      <c r="AB424" s="261">
        <v>0</v>
      </c>
      <c r="AC424" s="261">
        <v>30000000</v>
      </c>
      <c r="AD424" s="261">
        <v>0</v>
      </c>
      <c r="AE424" s="261">
        <v>0</v>
      </c>
      <c r="AF424" s="261">
        <v>0</v>
      </c>
      <c r="AG424" s="261">
        <v>0</v>
      </c>
      <c r="AH424" s="261">
        <v>0</v>
      </c>
      <c r="AI424" s="261">
        <v>0</v>
      </c>
      <c r="AJ424" s="261">
        <v>30000000</v>
      </c>
      <c r="AK424" s="261">
        <v>0</v>
      </c>
      <c r="AL424" s="261">
        <v>0</v>
      </c>
      <c r="AM424" s="261">
        <v>0</v>
      </c>
      <c r="AN424" s="261">
        <v>0</v>
      </c>
      <c r="AO424" s="261">
        <v>0</v>
      </c>
      <c r="AP424" s="261">
        <v>30000000</v>
      </c>
      <c r="AQ424" s="9"/>
      <c r="AS424" s="9"/>
    </row>
    <row r="425" spans="1:45" s="1" customFormat="1" x14ac:dyDescent="0.25">
      <c r="A425" s="205">
        <v>30202010201</v>
      </c>
      <c r="B425" s="259" t="s">
        <v>652</v>
      </c>
      <c r="C425" s="261">
        <v>30000000</v>
      </c>
      <c r="D425" s="261">
        <v>0</v>
      </c>
      <c r="E425" s="261">
        <v>0</v>
      </c>
      <c r="F425" s="261">
        <v>0</v>
      </c>
      <c r="G425" s="261">
        <f>+C425+D425-E425+F425</f>
        <v>30000000</v>
      </c>
      <c r="H425" s="261">
        <v>0</v>
      </c>
      <c r="I425" s="261">
        <v>0</v>
      </c>
      <c r="J425" s="261">
        <f t="shared" si="193"/>
        <v>30000000</v>
      </c>
      <c r="K425" s="261">
        <v>0</v>
      </c>
      <c r="L425" s="261">
        <v>0</v>
      </c>
      <c r="M425" s="261">
        <f t="shared" si="198"/>
        <v>0</v>
      </c>
      <c r="N425" s="261">
        <v>0</v>
      </c>
      <c r="O425" s="261">
        <v>0</v>
      </c>
      <c r="P425" s="261">
        <f t="shared" si="196"/>
        <v>0</v>
      </c>
      <c r="Q425" s="177">
        <f t="shared" si="194"/>
        <v>30000000</v>
      </c>
      <c r="R425" s="261">
        <f t="shared" si="197"/>
        <v>0</v>
      </c>
      <c r="T425" s="185">
        <v>30202010201</v>
      </c>
      <c r="U425" s="259" t="s">
        <v>652</v>
      </c>
      <c r="V425" s="261">
        <v>30000000</v>
      </c>
      <c r="W425" s="261">
        <v>0</v>
      </c>
      <c r="X425" s="261">
        <v>0</v>
      </c>
      <c r="Y425" s="261">
        <v>0</v>
      </c>
      <c r="Z425" s="261">
        <v>30000000</v>
      </c>
      <c r="AA425" s="261">
        <v>0</v>
      </c>
      <c r="AB425" s="261">
        <v>0</v>
      </c>
      <c r="AC425" s="261">
        <v>30000000</v>
      </c>
      <c r="AD425" s="261">
        <v>0</v>
      </c>
      <c r="AE425" s="261">
        <v>0</v>
      </c>
      <c r="AF425" s="261">
        <v>0</v>
      </c>
      <c r="AG425" s="261">
        <v>0</v>
      </c>
      <c r="AH425" s="261">
        <v>0</v>
      </c>
      <c r="AI425" s="261">
        <v>0</v>
      </c>
      <c r="AJ425" s="261">
        <v>30000000</v>
      </c>
      <c r="AK425" s="261">
        <v>0</v>
      </c>
      <c r="AL425" s="261">
        <v>0</v>
      </c>
      <c r="AM425" s="261">
        <v>0</v>
      </c>
      <c r="AN425" s="261">
        <v>0</v>
      </c>
      <c r="AO425" s="261">
        <v>0</v>
      </c>
      <c r="AP425" s="261">
        <v>30000000</v>
      </c>
      <c r="AQ425" s="261"/>
      <c r="AS425" s="261"/>
    </row>
    <row r="426" spans="1:45" x14ac:dyDescent="0.25">
      <c r="A426" s="4">
        <v>30203</v>
      </c>
      <c r="B426" s="5" t="s">
        <v>653</v>
      </c>
      <c r="C426" s="6">
        <f>+C427+C430</f>
        <v>160099075</v>
      </c>
      <c r="D426" s="6">
        <f t="shared" ref="D426:R426" si="212">+D427+D430</f>
        <v>0</v>
      </c>
      <c r="E426" s="6">
        <f t="shared" si="212"/>
        <v>0</v>
      </c>
      <c r="F426" s="6">
        <f t="shared" si="212"/>
        <v>0</v>
      </c>
      <c r="G426" s="6">
        <f t="shared" si="212"/>
        <v>160099075</v>
      </c>
      <c r="H426" s="6">
        <f t="shared" si="212"/>
        <v>0</v>
      </c>
      <c r="I426" s="6">
        <f t="shared" si="212"/>
        <v>0</v>
      </c>
      <c r="J426" s="6">
        <f t="shared" si="193"/>
        <v>160099075</v>
      </c>
      <c r="K426" s="6">
        <f t="shared" si="212"/>
        <v>0</v>
      </c>
      <c r="L426" s="6">
        <f t="shared" si="212"/>
        <v>0</v>
      </c>
      <c r="M426" s="6">
        <f t="shared" si="212"/>
        <v>0</v>
      </c>
      <c r="N426" s="6">
        <f t="shared" si="212"/>
        <v>0</v>
      </c>
      <c r="O426" s="6">
        <f t="shared" si="212"/>
        <v>150000000</v>
      </c>
      <c r="P426" s="6">
        <f t="shared" si="212"/>
        <v>150000000</v>
      </c>
      <c r="Q426" s="6">
        <f t="shared" si="194"/>
        <v>10099075</v>
      </c>
      <c r="R426" s="6">
        <f t="shared" si="212"/>
        <v>0</v>
      </c>
      <c r="T426" s="185">
        <v>30203</v>
      </c>
      <c r="U426" s="259" t="s">
        <v>653</v>
      </c>
      <c r="V426" s="261">
        <v>160099075</v>
      </c>
      <c r="W426" s="261">
        <v>0</v>
      </c>
      <c r="X426" s="261">
        <v>0</v>
      </c>
      <c r="Y426" s="261">
        <v>0</v>
      </c>
      <c r="Z426" s="261">
        <v>160099075</v>
      </c>
      <c r="AA426" s="261">
        <v>0</v>
      </c>
      <c r="AB426" s="261">
        <v>0</v>
      </c>
      <c r="AC426" s="261">
        <v>160099075</v>
      </c>
      <c r="AD426" s="261">
        <v>0</v>
      </c>
      <c r="AE426" s="261">
        <v>0</v>
      </c>
      <c r="AF426" s="261">
        <v>0</v>
      </c>
      <c r="AG426" s="261">
        <v>0</v>
      </c>
      <c r="AH426" s="261">
        <v>150000000</v>
      </c>
      <c r="AI426" s="261">
        <v>150000000</v>
      </c>
      <c r="AJ426" s="261">
        <v>10099075</v>
      </c>
      <c r="AK426" s="261">
        <v>0</v>
      </c>
      <c r="AL426" s="261">
        <v>0</v>
      </c>
      <c r="AM426" s="261">
        <v>150000000</v>
      </c>
      <c r="AN426" s="261">
        <v>150000000</v>
      </c>
      <c r="AO426" s="261">
        <v>150000000</v>
      </c>
      <c r="AP426" s="261">
        <v>10099075</v>
      </c>
      <c r="AQ426" s="6"/>
      <c r="AS426" s="6"/>
    </row>
    <row r="427" spans="1:45" s="1" customFormat="1" x14ac:dyDescent="0.25">
      <c r="A427" s="7">
        <v>3020301</v>
      </c>
      <c r="B427" s="8" t="s">
        <v>654</v>
      </c>
      <c r="C427" s="9">
        <f>+C428</f>
        <v>10099075</v>
      </c>
      <c r="D427" s="9">
        <f t="shared" ref="D427:R428" si="213">+D428</f>
        <v>0</v>
      </c>
      <c r="E427" s="9">
        <f t="shared" si="213"/>
        <v>0</v>
      </c>
      <c r="F427" s="9">
        <f t="shared" si="213"/>
        <v>0</v>
      </c>
      <c r="G427" s="9">
        <f t="shared" si="213"/>
        <v>10099075</v>
      </c>
      <c r="H427" s="9">
        <f t="shared" si="213"/>
        <v>0</v>
      </c>
      <c r="I427" s="9">
        <f t="shared" si="213"/>
        <v>0</v>
      </c>
      <c r="J427" s="9">
        <f t="shared" si="193"/>
        <v>10099075</v>
      </c>
      <c r="K427" s="9">
        <f t="shared" si="213"/>
        <v>0</v>
      </c>
      <c r="L427" s="9">
        <f t="shared" si="213"/>
        <v>0</v>
      </c>
      <c r="M427" s="9">
        <f t="shared" si="213"/>
        <v>0</v>
      </c>
      <c r="N427" s="9">
        <f t="shared" si="213"/>
        <v>0</v>
      </c>
      <c r="O427" s="9">
        <f t="shared" si="213"/>
        <v>0</v>
      </c>
      <c r="P427" s="9">
        <f t="shared" si="213"/>
        <v>0</v>
      </c>
      <c r="Q427" s="9">
        <f t="shared" si="194"/>
        <v>10099075</v>
      </c>
      <c r="R427" s="9">
        <f t="shared" si="213"/>
        <v>0</v>
      </c>
      <c r="T427" s="185">
        <v>3020301</v>
      </c>
      <c r="U427" s="259" t="s">
        <v>654</v>
      </c>
      <c r="V427" s="261">
        <v>10099075</v>
      </c>
      <c r="W427" s="261">
        <v>0</v>
      </c>
      <c r="X427" s="261">
        <v>0</v>
      </c>
      <c r="Y427" s="261">
        <v>0</v>
      </c>
      <c r="Z427" s="261">
        <v>10099075</v>
      </c>
      <c r="AA427" s="261">
        <v>0</v>
      </c>
      <c r="AB427" s="261">
        <v>0</v>
      </c>
      <c r="AC427" s="261">
        <v>10099075</v>
      </c>
      <c r="AD427" s="261">
        <v>0</v>
      </c>
      <c r="AE427" s="261">
        <v>0</v>
      </c>
      <c r="AF427" s="261">
        <v>0</v>
      </c>
      <c r="AG427" s="261">
        <v>0</v>
      </c>
      <c r="AH427" s="261">
        <v>0</v>
      </c>
      <c r="AI427" s="261">
        <v>0</v>
      </c>
      <c r="AJ427" s="261">
        <v>10099075</v>
      </c>
      <c r="AK427" s="261">
        <v>0</v>
      </c>
      <c r="AL427" s="261">
        <v>0</v>
      </c>
      <c r="AM427" s="261">
        <v>0</v>
      </c>
      <c r="AN427" s="261">
        <v>0</v>
      </c>
      <c r="AO427" s="261">
        <v>0</v>
      </c>
      <c r="AP427" s="261">
        <v>10099075</v>
      </c>
      <c r="AQ427" s="9"/>
      <c r="AS427" s="9"/>
    </row>
    <row r="428" spans="1:45" x14ac:dyDescent="0.25">
      <c r="A428" s="7">
        <v>302030101</v>
      </c>
      <c r="B428" s="8" t="s">
        <v>655</v>
      </c>
      <c r="C428" s="9">
        <f>+C429</f>
        <v>10099075</v>
      </c>
      <c r="D428" s="9">
        <f t="shared" si="213"/>
        <v>0</v>
      </c>
      <c r="E428" s="9">
        <f t="shared" si="213"/>
        <v>0</v>
      </c>
      <c r="F428" s="9">
        <f t="shared" si="213"/>
        <v>0</v>
      </c>
      <c r="G428" s="9">
        <f t="shared" si="213"/>
        <v>10099075</v>
      </c>
      <c r="H428" s="9">
        <f t="shared" si="213"/>
        <v>0</v>
      </c>
      <c r="I428" s="9">
        <f t="shared" si="213"/>
        <v>0</v>
      </c>
      <c r="J428" s="9">
        <f t="shared" si="193"/>
        <v>10099075</v>
      </c>
      <c r="K428" s="9">
        <f t="shared" si="213"/>
        <v>0</v>
      </c>
      <c r="L428" s="9">
        <f t="shared" si="213"/>
        <v>0</v>
      </c>
      <c r="M428" s="9">
        <f t="shared" si="213"/>
        <v>0</v>
      </c>
      <c r="N428" s="9">
        <f t="shared" si="213"/>
        <v>0</v>
      </c>
      <c r="O428" s="9">
        <f t="shared" si="213"/>
        <v>0</v>
      </c>
      <c r="P428" s="9">
        <f t="shared" si="213"/>
        <v>0</v>
      </c>
      <c r="Q428" s="9">
        <f t="shared" si="194"/>
        <v>10099075</v>
      </c>
      <c r="R428" s="9">
        <f t="shared" si="213"/>
        <v>0</v>
      </c>
      <c r="S428" s="1"/>
      <c r="T428" s="185">
        <v>302030101</v>
      </c>
      <c r="U428" s="259" t="s">
        <v>655</v>
      </c>
      <c r="V428" s="261">
        <v>10099075</v>
      </c>
      <c r="W428" s="261">
        <v>0</v>
      </c>
      <c r="X428" s="261">
        <v>0</v>
      </c>
      <c r="Y428" s="261">
        <v>0</v>
      </c>
      <c r="Z428" s="261">
        <v>10099075</v>
      </c>
      <c r="AA428" s="261">
        <v>0</v>
      </c>
      <c r="AB428" s="261">
        <v>0</v>
      </c>
      <c r="AC428" s="261">
        <v>10099075</v>
      </c>
      <c r="AD428" s="261">
        <v>0</v>
      </c>
      <c r="AE428" s="261">
        <v>0</v>
      </c>
      <c r="AF428" s="261">
        <v>0</v>
      </c>
      <c r="AG428" s="261">
        <v>0</v>
      </c>
      <c r="AH428" s="261">
        <v>0</v>
      </c>
      <c r="AI428" s="261">
        <v>0</v>
      </c>
      <c r="AJ428" s="261">
        <v>10099075</v>
      </c>
      <c r="AK428" s="261">
        <v>0</v>
      </c>
      <c r="AL428" s="261">
        <v>0</v>
      </c>
      <c r="AM428" s="261">
        <v>0</v>
      </c>
      <c r="AN428" s="261">
        <v>0</v>
      </c>
      <c r="AO428" s="261">
        <v>0</v>
      </c>
      <c r="AP428" s="261">
        <v>10099075</v>
      </c>
      <c r="AQ428" s="9"/>
      <c r="AS428" s="9"/>
    </row>
    <row r="429" spans="1:45" s="1" customFormat="1" x14ac:dyDescent="0.25">
      <c r="A429" s="205">
        <v>30203010101</v>
      </c>
      <c r="B429" s="259" t="s">
        <v>656</v>
      </c>
      <c r="C429" s="261">
        <v>10099075</v>
      </c>
      <c r="D429" s="261">
        <v>0</v>
      </c>
      <c r="E429" s="261">
        <v>0</v>
      </c>
      <c r="F429" s="261">
        <v>0</v>
      </c>
      <c r="G429" s="261">
        <f>+C429+D429-E429+F429</f>
        <v>10099075</v>
      </c>
      <c r="H429" s="261">
        <v>0</v>
      </c>
      <c r="I429" s="261">
        <v>0</v>
      </c>
      <c r="J429" s="261">
        <f t="shared" si="193"/>
        <v>10099075</v>
      </c>
      <c r="K429" s="261">
        <v>0</v>
      </c>
      <c r="L429" s="261">
        <v>0</v>
      </c>
      <c r="M429" s="261">
        <f t="shared" si="198"/>
        <v>0</v>
      </c>
      <c r="N429" s="261">
        <v>0</v>
      </c>
      <c r="O429" s="261">
        <v>0</v>
      </c>
      <c r="P429" s="261">
        <f t="shared" si="196"/>
        <v>0</v>
      </c>
      <c r="Q429" s="177">
        <f t="shared" si="194"/>
        <v>10099075</v>
      </c>
      <c r="R429" s="261">
        <f t="shared" si="197"/>
        <v>0</v>
      </c>
      <c r="T429" s="185">
        <v>30203010101</v>
      </c>
      <c r="U429" s="259" t="s">
        <v>656</v>
      </c>
      <c r="V429" s="261">
        <v>10099075</v>
      </c>
      <c r="W429" s="261">
        <v>0</v>
      </c>
      <c r="X429" s="261">
        <v>0</v>
      </c>
      <c r="Y429" s="261">
        <v>0</v>
      </c>
      <c r="Z429" s="261">
        <v>10099075</v>
      </c>
      <c r="AA429" s="261">
        <v>0</v>
      </c>
      <c r="AB429" s="261">
        <v>0</v>
      </c>
      <c r="AC429" s="261">
        <v>10099075</v>
      </c>
      <c r="AD429" s="261">
        <v>0</v>
      </c>
      <c r="AE429" s="261">
        <v>0</v>
      </c>
      <c r="AF429" s="261">
        <v>0</v>
      </c>
      <c r="AG429" s="261">
        <v>0</v>
      </c>
      <c r="AH429" s="261">
        <v>0</v>
      </c>
      <c r="AI429" s="261">
        <v>0</v>
      </c>
      <c r="AJ429" s="261">
        <v>10099075</v>
      </c>
      <c r="AK429" s="261">
        <v>0</v>
      </c>
      <c r="AL429" s="261">
        <v>0</v>
      </c>
      <c r="AM429" s="261">
        <v>0</v>
      </c>
      <c r="AN429" s="261">
        <v>0</v>
      </c>
      <c r="AO429" s="261">
        <v>0</v>
      </c>
      <c r="AP429" s="261">
        <v>10099075</v>
      </c>
      <c r="AQ429" s="261"/>
      <c r="AS429" s="261"/>
    </row>
    <row r="430" spans="1:45" s="1" customFormat="1" x14ac:dyDescent="0.25">
      <c r="A430" s="7">
        <v>3020302</v>
      </c>
      <c r="B430" s="8" t="s">
        <v>657</v>
      </c>
      <c r="C430" s="9">
        <f>+C431</f>
        <v>150000000</v>
      </c>
      <c r="D430" s="9">
        <f t="shared" ref="D430:R430" si="214">+D431</f>
        <v>0</v>
      </c>
      <c r="E430" s="9">
        <f t="shared" si="214"/>
        <v>0</v>
      </c>
      <c r="F430" s="9">
        <f t="shared" si="214"/>
        <v>0</v>
      </c>
      <c r="G430" s="9">
        <f t="shared" si="214"/>
        <v>150000000</v>
      </c>
      <c r="H430" s="9">
        <f t="shared" si="214"/>
        <v>0</v>
      </c>
      <c r="I430" s="9">
        <f t="shared" si="214"/>
        <v>0</v>
      </c>
      <c r="J430" s="9">
        <f t="shared" si="193"/>
        <v>150000000</v>
      </c>
      <c r="K430" s="9">
        <f t="shared" si="214"/>
        <v>0</v>
      </c>
      <c r="L430" s="9">
        <f t="shared" si="214"/>
        <v>0</v>
      </c>
      <c r="M430" s="9">
        <f t="shared" si="214"/>
        <v>0</v>
      </c>
      <c r="N430" s="9">
        <f t="shared" si="214"/>
        <v>0</v>
      </c>
      <c r="O430" s="9">
        <f t="shared" si="214"/>
        <v>150000000</v>
      </c>
      <c r="P430" s="9">
        <f t="shared" si="214"/>
        <v>150000000</v>
      </c>
      <c r="Q430" s="9">
        <f t="shared" si="194"/>
        <v>0</v>
      </c>
      <c r="R430" s="9">
        <f t="shared" si="214"/>
        <v>0</v>
      </c>
      <c r="S430" s="257"/>
      <c r="T430" s="185">
        <v>3020302</v>
      </c>
      <c r="U430" s="259" t="s">
        <v>657</v>
      </c>
      <c r="V430" s="261">
        <v>150000000</v>
      </c>
      <c r="W430" s="261">
        <v>0</v>
      </c>
      <c r="X430" s="261">
        <v>0</v>
      </c>
      <c r="Y430" s="261">
        <v>0</v>
      </c>
      <c r="Z430" s="261">
        <v>150000000</v>
      </c>
      <c r="AA430" s="261">
        <v>0</v>
      </c>
      <c r="AB430" s="261">
        <v>0</v>
      </c>
      <c r="AC430" s="261">
        <v>150000000</v>
      </c>
      <c r="AD430" s="261">
        <v>0</v>
      </c>
      <c r="AE430" s="261">
        <v>0</v>
      </c>
      <c r="AF430" s="261">
        <v>0</v>
      </c>
      <c r="AG430" s="261">
        <v>0</v>
      </c>
      <c r="AH430" s="261">
        <v>150000000</v>
      </c>
      <c r="AI430" s="261">
        <v>150000000</v>
      </c>
      <c r="AJ430" s="261">
        <v>0</v>
      </c>
      <c r="AK430" s="261">
        <v>0</v>
      </c>
      <c r="AL430" s="261">
        <v>0</v>
      </c>
      <c r="AM430" s="261">
        <v>150000000</v>
      </c>
      <c r="AN430" s="261">
        <v>150000000</v>
      </c>
      <c r="AO430" s="261">
        <v>150000000</v>
      </c>
      <c r="AP430" s="261">
        <v>0</v>
      </c>
      <c r="AQ430" s="9"/>
      <c r="AS430" s="9"/>
    </row>
    <row r="431" spans="1:45" s="1" customFormat="1" x14ac:dyDescent="0.25">
      <c r="A431" s="204">
        <v>302030203</v>
      </c>
      <c r="B431" s="259" t="s">
        <v>658</v>
      </c>
      <c r="C431" s="261">
        <v>150000000</v>
      </c>
      <c r="D431" s="261">
        <v>0</v>
      </c>
      <c r="E431" s="261">
        <v>0</v>
      </c>
      <c r="F431" s="261">
        <v>0</v>
      </c>
      <c r="G431" s="261">
        <f>+C431+D431-E431+F431</f>
        <v>150000000</v>
      </c>
      <c r="H431" s="261">
        <v>0</v>
      </c>
      <c r="I431" s="261">
        <v>0</v>
      </c>
      <c r="J431" s="261">
        <f t="shared" si="193"/>
        <v>150000000</v>
      </c>
      <c r="K431" s="261">
        <v>0</v>
      </c>
      <c r="L431" s="261">
        <v>0</v>
      </c>
      <c r="M431" s="261">
        <f t="shared" si="198"/>
        <v>0</v>
      </c>
      <c r="N431" s="261">
        <v>0</v>
      </c>
      <c r="O431" s="261">
        <v>150000000</v>
      </c>
      <c r="P431" s="261">
        <f t="shared" si="196"/>
        <v>150000000</v>
      </c>
      <c r="Q431" s="177">
        <f t="shared" si="194"/>
        <v>0</v>
      </c>
      <c r="R431" s="261">
        <f t="shared" si="197"/>
        <v>0</v>
      </c>
      <c r="T431" s="185">
        <v>302030203</v>
      </c>
      <c r="U431" s="259" t="s">
        <v>658</v>
      </c>
      <c r="V431" s="261">
        <v>150000000</v>
      </c>
      <c r="W431" s="261">
        <v>0</v>
      </c>
      <c r="X431" s="261">
        <v>0</v>
      </c>
      <c r="Y431" s="261">
        <v>0</v>
      </c>
      <c r="Z431" s="261">
        <v>150000000</v>
      </c>
      <c r="AA431" s="261">
        <v>0</v>
      </c>
      <c r="AB431" s="261">
        <v>0</v>
      </c>
      <c r="AC431" s="261">
        <v>150000000</v>
      </c>
      <c r="AD431" s="261">
        <v>0</v>
      </c>
      <c r="AE431" s="261">
        <v>0</v>
      </c>
      <c r="AF431" s="261">
        <v>0</v>
      </c>
      <c r="AG431" s="261">
        <v>0</v>
      </c>
      <c r="AH431" s="261">
        <v>150000000</v>
      </c>
      <c r="AI431" s="261">
        <v>150000000</v>
      </c>
      <c r="AJ431" s="261">
        <v>0</v>
      </c>
      <c r="AK431" s="261">
        <v>0</v>
      </c>
      <c r="AL431" s="261">
        <v>0</v>
      </c>
      <c r="AM431" s="261">
        <v>150000000</v>
      </c>
      <c r="AN431" s="261">
        <v>150000000</v>
      </c>
      <c r="AO431" s="261">
        <v>150000000</v>
      </c>
      <c r="AP431" s="261">
        <v>0</v>
      </c>
      <c r="AQ431" s="261"/>
      <c r="AS431" s="261"/>
    </row>
    <row r="432" spans="1:45" s="1" customFormat="1" x14ac:dyDescent="0.25">
      <c r="A432" s="4">
        <v>303</v>
      </c>
      <c r="B432" s="5" t="s">
        <v>659</v>
      </c>
      <c r="C432" s="6">
        <f>+C433</f>
        <v>95000000</v>
      </c>
      <c r="D432" s="6">
        <f t="shared" ref="D432:R432" si="215">+D433</f>
        <v>0</v>
      </c>
      <c r="E432" s="6">
        <f t="shared" si="215"/>
        <v>0</v>
      </c>
      <c r="F432" s="6">
        <f t="shared" si="215"/>
        <v>0</v>
      </c>
      <c r="G432" s="6">
        <f t="shared" si="215"/>
        <v>95000000</v>
      </c>
      <c r="H432" s="6">
        <f t="shared" si="215"/>
        <v>0</v>
      </c>
      <c r="I432" s="6">
        <f t="shared" si="215"/>
        <v>0</v>
      </c>
      <c r="J432" s="6">
        <f t="shared" si="193"/>
        <v>95000000</v>
      </c>
      <c r="K432" s="6">
        <f t="shared" si="215"/>
        <v>0</v>
      </c>
      <c r="L432" s="6">
        <f t="shared" si="215"/>
        <v>0</v>
      </c>
      <c r="M432" s="6">
        <f t="shared" si="215"/>
        <v>0</v>
      </c>
      <c r="N432" s="6">
        <f t="shared" si="215"/>
        <v>0</v>
      </c>
      <c r="O432" s="6">
        <f t="shared" si="215"/>
        <v>0</v>
      </c>
      <c r="P432" s="6">
        <f t="shared" si="215"/>
        <v>0</v>
      </c>
      <c r="Q432" s="6">
        <f t="shared" si="194"/>
        <v>95000000</v>
      </c>
      <c r="R432" s="6">
        <f t="shared" si="215"/>
        <v>0</v>
      </c>
      <c r="S432" s="257"/>
      <c r="T432" s="185">
        <v>303</v>
      </c>
      <c r="U432" s="259" t="s">
        <v>659</v>
      </c>
      <c r="V432" s="261">
        <v>95000000</v>
      </c>
      <c r="W432" s="261">
        <v>0</v>
      </c>
      <c r="X432" s="261">
        <v>0</v>
      </c>
      <c r="Y432" s="261">
        <v>0</v>
      </c>
      <c r="Z432" s="261">
        <v>95000000</v>
      </c>
      <c r="AA432" s="261">
        <v>0</v>
      </c>
      <c r="AB432" s="261">
        <v>0</v>
      </c>
      <c r="AC432" s="261">
        <v>95000000</v>
      </c>
      <c r="AD432" s="261">
        <v>0</v>
      </c>
      <c r="AE432" s="261">
        <v>0</v>
      </c>
      <c r="AF432" s="261">
        <v>0</v>
      </c>
      <c r="AG432" s="261">
        <v>0</v>
      </c>
      <c r="AH432" s="261">
        <v>0</v>
      </c>
      <c r="AI432" s="261">
        <v>0</v>
      </c>
      <c r="AJ432" s="261">
        <v>95000000</v>
      </c>
      <c r="AK432" s="261">
        <v>0</v>
      </c>
      <c r="AL432" s="261">
        <v>0</v>
      </c>
      <c r="AM432" s="261">
        <v>0</v>
      </c>
      <c r="AN432" s="261">
        <v>0</v>
      </c>
      <c r="AO432" s="261">
        <v>0</v>
      </c>
      <c r="AP432" s="261">
        <v>95000000</v>
      </c>
      <c r="AQ432" s="6"/>
      <c r="AS432" s="6"/>
    </row>
    <row r="433" spans="1:45" x14ac:dyDescent="0.25">
      <c r="A433" s="4">
        <v>30301</v>
      </c>
      <c r="B433" s="5" t="s">
        <v>660</v>
      </c>
      <c r="C433" s="6">
        <f>+C434+C440</f>
        <v>95000000</v>
      </c>
      <c r="D433" s="6">
        <f t="shared" ref="D433:R433" si="216">+D434+D440</f>
        <v>0</v>
      </c>
      <c r="E433" s="6">
        <f t="shared" si="216"/>
        <v>0</v>
      </c>
      <c r="F433" s="6">
        <f t="shared" si="216"/>
        <v>0</v>
      </c>
      <c r="G433" s="6">
        <f t="shared" si="216"/>
        <v>95000000</v>
      </c>
      <c r="H433" s="6">
        <f t="shared" si="216"/>
        <v>0</v>
      </c>
      <c r="I433" s="6">
        <f t="shared" si="216"/>
        <v>0</v>
      </c>
      <c r="J433" s="6">
        <f t="shared" si="193"/>
        <v>95000000</v>
      </c>
      <c r="K433" s="6">
        <f t="shared" si="216"/>
        <v>0</v>
      </c>
      <c r="L433" s="6">
        <f t="shared" si="216"/>
        <v>0</v>
      </c>
      <c r="M433" s="6">
        <f t="shared" si="216"/>
        <v>0</v>
      </c>
      <c r="N433" s="6">
        <f t="shared" si="216"/>
        <v>0</v>
      </c>
      <c r="O433" s="6">
        <f t="shared" si="216"/>
        <v>0</v>
      </c>
      <c r="P433" s="6">
        <f t="shared" si="216"/>
        <v>0</v>
      </c>
      <c r="Q433" s="6">
        <f t="shared" si="194"/>
        <v>95000000</v>
      </c>
      <c r="R433" s="6">
        <f t="shared" si="216"/>
        <v>0</v>
      </c>
      <c r="S433" s="1"/>
      <c r="T433" s="185">
        <v>30301</v>
      </c>
      <c r="U433" s="259" t="s">
        <v>660</v>
      </c>
      <c r="V433" s="261">
        <v>95000000</v>
      </c>
      <c r="W433" s="261">
        <v>0</v>
      </c>
      <c r="X433" s="261">
        <v>0</v>
      </c>
      <c r="Y433" s="261">
        <v>0</v>
      </c>
      <c r="Z433" s="261">
        <v>95000000</v>
      </c>
      <c r="AA433" s="261">
        <v>0</v>
      </c>
      <c r="AB433" s="261">
        <v>0</v>
      </c>
      <c r="AC433" s="261">
        <v>95000000</v>
      </c>
      <c r="AD433" s="261">
        <v>0</v>
      </c>
      <c r="AE433" s="261">
        <v>0</v>
      </c>
      <c r="AF433" s="261">
        <v>0</v>
      </c>
      <c r="AG433" s="261">
        <v>0</v>
      </c>
      <c r="AH433" s="261">
        <v>0</v>
      </c>
      <c r="AI433" s="261">
        <v>0</v>
      </c>
      <c r="AJ433" s="261">
        <v>95000000</v>
      </c>
      <c r="AK433" s="261">
        <v>0</v>
      </c>
      <c r="AL433" s="261">
        <v>0</v>
      </c>
      <c r="AM433" s="261">
        <v>0</v>
      </c>
      <c r="AN433" s="261">
        <v>0</v>
      </c>
      <c r="AO433" s="261">
        <v>0</v>
      </c>
      <c r="AP433" s="261">
        <v>95000000</v>
      </c>
      <c r="AQ433" s="6"/>
      <c r="AS433" s="6"/>
    </row>
    <row r="434" spans="1:45" x14ac:dyDescent="0.25">
      <c r="A434" s="7">
        <v>3030101</v>
      </c>
      <c r="B434" s="8" t="s">
        <v>661</v>
      </c>
      <c r="C434" s="9">
        <f>+C435</f>
        <v>80000000</v>
      </c>
      <c r="D434" s="9">
        <f t="shared" ref="D434:R434" si="217">+D435</f>
        <v>0</v>
      </c>
      <c r="E434" s="9">
        <f t="shared" si="217"/>
        <v>0</v>
      </c>
      <c r="F434" s="9">
        <f t="shared" si="217"/>
        <v>0</v>
      </c>
      <c r="G434" s="9">
        <f t="shared" si="217"/>
        <v>80000000</v>
      </c>
      <c r="H434" s="9">
        <f t="shared" si="217"/>
        <v>0</v>
      </c>
      <c r="I434" s="9">
        <f t="shared" si="217"/>
        <v>0</v>
      </c>
      <c r="J434" s="9">
        <f t="shared" si="193"/>
        <v>80000000</v>
      </c>
      <c r="K434" s="9">
        <f t="shared" si="217"/>
        <v>0</v>
      </c>
      <c r="L434" s="9">
        <f t="shared" si="217"/>
        <v>0</v>
      </c>
      <c r="M434" s="9">
        <f t="shared" si="217"/>
        <v>0</v>
      </c>
      <c r="N434" s="9">
        <f t="shared" si="217"/>
        <v>0</v>
      </c>
      <c r="O434" s="9">
        <f t="shared" si="217"/>
        <v>0</v>
      </c>
      <c r="P434" s="9">
        <f t="shared" si="217"/>
        <v>0</v>
      </c>
      <c r="Q434" s="9">
        <f t="shared" si="194"/>
        <v>80000000</v>
      </c>
      <c r="R434" s="9">
        <f t="shared" si="217"/>
        <v>0</v>
      </c>
      <c r="S434" s="1"/>
      <c r="T434" s="185">
        <v>3030101</v>
      </c>
      <c r="U434" s="259" t="s">
        <v>661</v>
      </c>
      <c r="V434" s="261">
        <v>80000000</v>
      </c>
      <c r="W434" s="261">
        <v>0</v>
      </c>
      <c r="X434" s="261">
        <v>0</v>
      </c>
      <c r="Y434" s="261">
        <v>0</v>
      </c>
      <c r="Z434" s="261">
        <v>80000000</v>
      </c>
      <c r="AA434" s="261">
        <v>0</v>
      </c>
      <c r="AB434" s="261">
        <v>0</v>
      </c>
      <c r="AC434" s="261">
        <v>80000000</v>
      </c>
      <c r="AD434" s="261">
        <v>0</v>
      </c>
      <c r="AE434" s="261">
        <v>0</v>
      </c>
      <c r="AF434" s="261">
        <v>0</v>
      </c>
      <c r="AG434" s="261">
        <v>0</v>
      </c>
      <c r="AH434" s="261">
        <v>0</v>
      </c>
      <c r="AI434" s="261">
        <v>0</v>
      </c>
      <c r="AJ434" s="261">
        <v>80000000</v>
      </c>
      <c r="AK434" s="261">
        <v>0</v>
      </c>
      <c r="AL434" s="261">
        <v>0</v>
      </c>
      <c r="AM434" s="261">
        <v>0</v>
      </c>
      <c r="AN434" s="261">
        <v>0</v>
      </c>
      <c r="AO434" s="261">
        <v>0</v>
      </c>
      <c r="AP434" s="261">
        <v>80000000</v>
      </c>
      <c r="AQ434" s="9"/>
      <c r="AS434" s="9"/>
    </row>
    <row r="435" spans="1:45" x14ac:dyDescent="0.25">
      <c r="A435" s="7">
        <v>303010101</v>
      </c>
      <c r="B435" s="8" t="s">
        <v>662</v>
      </c>
      <c r="C435" s="9">
        <f>SUM(C436:C439)</f>
        <v>80000000</v>
      </c>
      <c r="D435" s="9">
        <f t="shared" ref="D435:R435" si="218">SUM(D436:D439)</f>
        <v>0</v>
      </c>
      <c r="E435" s="9">
        <f t="shared" si="218"/>
        <v>0</v>
      </c>
      <c r="F435" s="9">
        <f t="shared" si="218"/>
        <v>0</v>
      </c>
      <c r="G435" s="9">
        <f t="shared" si="218"/>
        <v>80000000</v>
      </c>
      <c r="H435" s="9">
        <f t="shared" si="218"/>
        <v>0</v>
      </c>
      <c r="I435" s="9">
        <f t="shared" si="218"/>
        <v>0</v>
      </c>
      <c r="J435" s="9">
        <f t="shared" si="193"/>
        <v>80000000</v>
      </c>
      <c r="K435" s="9">
        <f t="shared" si="218"/>
        <v>0</v>
      </c>
      <c r="L435" s="9">
        <f t="shared" si="218"/>
        <v>0</v>
      </c>
      <c r="M435" s="9">
        <f t="shared" si="218"/>
        <v>0</v>
      </c>
      <c r="N435" s="9">
        <f t="shared" si="218"/>
        <v>0</v>
      </c>
      <c r="O435" s="9">
        <f t="shared" si="218"/>
        <v>0</v>
      </c>
      <c r="P435" s="9">
        <f t="shared" si="218"/>
        <v>0</v>
      </c>
      <c r="Q435" s="9">
        <f t="shared" si="194"/>
        <v>80000000</v>
      </c>
      <c r="R435" s="9">
        <f t="shared" si="218"/>
        <v>0</v>
      </c>
      <c r="S435" s="1"/>
      <c r="T435" s="185">
        <v>303010101</v>
      </c>
      <c r="U435" s="259" t="s">
        <v>662</v>
      </c>
      <c r="V435" s="261">
        <v>80000000</v>
      </c>
      <c r="W435" s="261">
        <v>0</v>
      </c>
      <c r="X435" s="261">
        <v>0</v>
      </c>
      <c r="Y435" s="261">
        <v>0</v>
      </c>
      <c r="Z435" s="261">
        <v>80000000</v>
      </c>
      <c r="AA435" s="261">
        <v>0</v>
      </c>
      <c r="AB435" s="261">
        <v>0</v>
      </c>
      <c r="AC435" s="261">
        <v>80000000</v>
      </c>
      <c r="AD435" s="261">
        <v>0</v>
      </c>
      <c r="AE435" s="261">
        <v>0</v>
      </c>
      <c r="AF435" s="261">
        <v>0</v>
      </c>
      <c r="AG435" s="261">
        <v>0</v>
      </c>
      <c r="AH435" s="261">
        <v>0</v>
      </c>
      <c r="AI435" s="261">
        <v>0</v>
      </c>
      <c r="AJ435" s="261">
        <v>80000000</v>
      </c>
      <c r="AK435" s="261">
        <v>0</v>
      </c>
      <c r="AL435" s="261">
        <v>0</v>
      </c>
      <c r="AM435" s="261">
        <v>0</v>
      </c>
      <c r="AN435" s="261">
        <v>0</v>
      </c>
      <c r="AO435" s="261">
        <v>0</v>
      </c>
      <c r="AP435" s="261">
        <v>80000000</v>
      </c>
      <c r="AQ435" s="9"/>
      <c r="AS435" s="9"/>
    </row>
    <row r="436" spans="1:45" x14ac:dyDescent="0.25">
      <c r="A436" s="205">
        <v>30301010101</v>
      </c>
      <c r="B436" s="259" t="s">
        <v>663</v>
      </c>
      <c r="C436" s="261">
        <v>5000000</v>
      </c>
      <c r="D436" s="261">
        <v>0</v>
      </c>
      <c r="E436" s="261">
        <v>0</v>
      </c>
      <c r="F436" s="261">
        <v>0</v>
      </c>
      <c r="G436" s="261">
        <f>+C436+D436-E436+F436</f>
        <v>5000000</v>
      </c>
      <c r="H436" s="261">
        <v>0</v>
      </c>
      <c r="I436" s="261">
        <v>0</v>
      </c>
      <c r="J436" s="261">
        <f t="shared" si="193"/>
        <v>5000000</v>
      </c>
      <c r="K436" s="261">
        <v>0</v>
      </c>
      <c r="L436" s="261">
        <v>0</v>
      </c>
      <c r="M436" s="261">
        <f t="shared" si="198"/>
        <v>0</v>
      </c>
      <c r="N436" s="261">
        <v>0</v>
      </c>
      <c r="O436" s="261">
        <v>0</v>
      </c>
      <c r="P436" s="261">
        <f t="shared" si="196"/>
        <v>0</v>
      </c>
      <c r="Q436" s="177">
        <f t="shared" si="194"/>
        <v>5000000</v>
      </c>
      <c r="R436" s="261">
        <f t="shared" si="197"/>
        <v>0</v>
      </c>
      <c r="S436" s="1"/>
      <c r="T436" s="185">
        <v>30301010101</v>
      </c>
      <c r="U436" s="259" t="s">
        <v>663</v>
      </c>
      <c r="V436" s="261">
        <v>5000000</v>
      </c>
      <c r="W436" s="261">
        <v>0</v>
      </c>
      <c r="X436" s="261">
        <v>0</v>
      </c>
      <c r="Y436" s="261">
        <v>0</v>
      </c>
      <c r="Z436" s="261">
        <v>5000000</v>
      </c>
      <c r="AA436" s="261">
        <v>0</v>
      </c>
      <c r="AB436" s="261">
        <v>0</v>
      </c>
      <c r="AC436" s="261">
        <v>5000000</v>
      </c>
      <c r="AD436" s="261">
        <v>0</v>
      </c>
      <c r="AE436" s="261">
        <v>0</v>
      </c>
      <c r="AF436" s="261">
        <v>0</v>
      </c>
      <c r="AG436" s="261">
        <v>0</v>
      </c>
      <c r="AH436" s="261">
        <v>0</v>
      </c>
      <c r="AI436" s="261">
        <v>0</v>
      </c>
      <c r="AJ436" s="261">
        <v>5000000</v>
      </c>
      <c r="AK436" s="261">
        <v>0</v>
      </c>
      <c r="AL436" s="261">
        <v>0</v>
      </c>
      <c r="AM436" s="261">
        <v>0</v>
      </c>
      <c r="AN436" s="261">
        <v>0</v>
      </c>
      <c r="AO436" s="261">
        <v>0</v>
      </c>
      <c r="AP436" s="261">
        <v>5000000</v>
      </c>
      <c r="AQ436" s="261"/>
      <c r="AS436" s="261"/>
    </row>
    <row r="437" spans="1:45" s="1" customFormat="1" x14ac:dyDescent="0.25">
      <c r="A437" s="206">
        <v>30301010102</v>
      </c>
      <c r="B437" s="259" t="s">
        <v>664</v>
      </c>
      <c r="C437" s="261">
        <v>5000000</v>
      </c>
      <c r="D437" s="261">
        <v>0</v>
      </c>
      <c r="E437" s="261">
        <v>0</v>
      </c>
      <c r="F437" s="261">
        <v>0</v>
      </c>
      <c r="G437" s="261">
        <f>+C437+D437-E437+F437</f>
        <v>5000000</v>
      </c>
      <c r="H437" s="261">
        <v>0</v>
      </c>
      <c r="I437" s="261">
        <v>0</v>
      </c>
      <c r="J437" s="261">
        <f t="shared" si="193"/>
        <v>5000000</v>
      </c>
      <c r="K437" s="261">
        <v>0</v>
      </c>
      <c r="L437" s="261">
        <v>0</v>
      </c>
      <c r="M437" s="261">
        <f t="shared" si="198"/>
        <v>0</v>
      </c>
      <c r="N437" s="261">
        <v>0</v>
      </c>
      <c r="O437" s="261">
        <v>0</v>
      </c>
      <c r="P437" s="261">
        <f t="shared" si="196"/>
        <v>0</v>
      </c>
      <c r="Q437" s="177">
        <f t="shared" si="194"/>
        <v>5000000</v>
      </c>
      <c r="R437" s="261">
        <f t="shared" si="197"/>
        <v>0</v>
      </c>
      <c r="S437" s="257"/>
      <c r="T437" s="185">
        <v>30301010102</v>
      </c>
      <c r="U437" s="259" t="s">
        <v>664</v>
      </c>
      <c r="V437" s="261">
        <v>5000000</v>
      </c>
      <c r="W437" s="261">
        <v>0</v>
      </c>
      <c r="X437" s="261">
        <v>0</v>
      </c>
      <c r="Y437" s="261">
        <v>0</v>
      </c>
      <c r="Z437" s="261">
        <v>5000000</v>
      </c>
      <c r="AA437" s="261">
        <v>0</v>
      </c>
      <c r="AB437" s="261">
        <v>0</v>
      </c>
      <c r="AC437" s="261">
        <v>5000000</v>
      </c>
      <c r="AD437" s="261">
        <v>0</v>
      </c>
      <c r="AE437" s="261">
        <v>0</v>
      </c>
      <c r="AF437" s="261">
        <v>0</v>
      </c>
      <c r="AG437" s="261">
        <v>0</v>
      </c>
      <c r="AH437" s="261">
        <v>0</v>
      </c>
      <c r="AI437" s="261">
        <v>0</v>
      </c>
      <c r="AJ437" s="261">
        <v>5000000</v>
      </c>
      <c r="AK437" s="261">
        <v>0</v>
      </c>
      <c r="AL437" s="261">
        <v>0</v>
      </c>
      <c r="AM437" s="261">
        <v>0</v>
      </c>
      <c r="AN437" s="261">
        <v>0</v>
      </c>
      <c r="AO437" s="261">
        <v>0</v>
      </c>
      <c r="AP437" s="261">
        <v>5000000</v>
      </c>
      <c r="AQ437" s="261"/>
      <c r="AS437" s="261"/>
    </row>
    <row r="438" spans="1:45" s="1" customFormat="1" x14ac:dyDescent="0.25">
      <c r="A438" s="204">
        <v>30301010103</v>
      </c>
      <c r="B438" s="259" t="s">
        <v>665</v>
      </c>
      <c r="C438" s="261">
        <v>35000000</v>
      </c>
      <c r="D438" s="261">
        <v>0</v>
      </c>
      <c r="E438" s="261">
        <v>0</v>
      </c>
      <c r="F438" s="261">
        <v>0</v>
      </c>
      <c r="G438" s="261">
        <f>+C438+D438-E438+F438</f>
        <v>35000000</v>
      </c>
      <c r="H438" s="261">
        <v>0</v>
      </c>
      <c r="I438" s="261">
        <v>0</v>
      </c>
      <c r="J438" s="261">
        <f t="shared" si="193"/>
        <v>35000000</v>
      </c>
      <c r="K438" s="261">
        <v>0</v>
      </c>
      <c r="L438" s="261">
        <v>0</v>
      </c>
      <c r="M438" s="261">
        <f t="shared" si="198"/>
        <v>0</v>
      </c>
      <c r="N438" s="261">
        <v>0</v>
      </c>
      <c r="O438" s="261">
        <v>0</v>
      </c>
      <c r="P438" s="261">
        <f t="shared" si="196"/>
        <v>0</v>
      </c>
      <c r="Q438" s="177">
        <f t="shared" si="194"/>
        <v>35000000</v>
      </c>
      <c r="R438" s="261">
        <f t="shared" si="197"/>
        <v>0</v>
      </c>
      <c r="S438" s="257"/>
      <c r="T438" s="185">
        <v>30301010103</v>
      </c>
      <c r="U438" s="259" t="s">
        <v>665</v>
      </c>
      <c r="V438" s="261">
        <v>35000000</v>
      </c>
      <c r="W438" s="261">
        <v>0</v>
      </c>
      <c r="X438" s="261">
        <v>0</v>
      </c>
      <c r="Y438" s="261">
        <v>0</v>
      </c>
      <c r="Z438" s="261">
        <v>35000000</v>
      </c>
      <c r="AA438" s="261">
        <v>0</v>
      </c>
      <c r="AB438" s="261">
        <v>0</v>
      </c>
      <c r="AC438" s="261">
        <v>35000000</v>
      </c>
      <c r="AD438" s="261">
        <v>0</v>
      </c>
      <c r="AE438" s="261">
        <v>0</v>
      </c>
      <c r="AF438" s="261">
        <v>0</v>
      </c>
      <c r="AG438" s="261">
        <v>0</v>
      </c>
      <c r="AH438" s="261">
        <v>0</v>
      </c>
      <c r="AI438" s="261">
        <v>0</v>
      </c>
      <c r="AJ438" s="261">
        <v>35000000</v>
      </c>
      <c r="AK438" s="261">
        <v>0</v>
      </c>
      <c r="AL438" s="261">
        <v>0</v>
      </c>
      <c r="AM438" s="261">
        <v>0</v>
      </c>
      <c r="AN438" s="261">
        <v>0</v>
      </c>
      <c r="AO438" s="261">
        <v>0</v>
      </c>
      <c r="AP438" s="261">
        <v>35000000</v>
      </c>
      <c r="AQ438" s="261"/>
      <c r="AS438" s="261"/>
    </row>
    <row r="439" spans="1:45" x14ac:dyDescent="0.25">
      <c r="A439" s="205">
        <v>30301010104</v>
      </c>
      <c r="B439" s="259" t="s">
        <v>666</v>
      </c>
      <c r="C439" s="261">
        <v>35000000</v>
      </c>
      <c r="D439" s="261">
        <v>0</v>
      </c>
      <c r="E439" s="261">
        <v>0</v>
      </c>
      <c r="F439" s="261">
        <v>0</v>
      </c>
      <c r="G439" s="261">
        <f>+C439+D439-E439+F439</f>
        <v>35000000</v>
      </c>
      <c r="H439" s="261">
        <v>0</v>
      </c>
      <c r="I439" s="261">
        <v>0</v>
      </c>
      <c r="J439" s="261">
        <f t="shared" si="193"/>
        <v>35000000</v>
      </c>
      <c r="K439" s="261">
        <v>0</v>
      </c>
      <c r="L439" s="261">
        <v>0</v>
      </c>
      <c r="M439" s="261">
        <f t="shared" si="198"/>
        <v>0</v>
      </c>
      <c r="N439" s="261">
        <v>0</v>
      </c>
      <c r="O439" s="261">
        <v>0</v>
      </c>
      <c r="P439" s="261">
        <f t="shared" si="196"/>
        <v>0</v>
      </c>
      <c r="Q439" s="177">
        <f t="shared" si="194"/>
        <v>35000000</v>
      </c>
      <c r="R439" s="261">
        <f t="shared" si="197"/>
        <v>0</v>
      </c>
      <c r="T439" s="185">
        <v>30301010104</v>
      </c>
      <c r="U439" s="259" t="s">
        <v>666</v>
      </c>
      <c r="V439" s="261">
        <v>35000000</v>
      </c>
      <c r="W439" s="261">
        <v>0</v>
      </c>
      <c r="X439" s="261">
        <v>0</v>
      </c>
      <c r="Y439" s="261">
        <v>0</v>
      </c>
      <c r="Z439" s="261">
        <v>35000000</v>
      </c>
      <c r="AA439" s="261">
        <v>0</v>
      </c>
      <c r="AB439" s="261">
        <v>0</v>
      </c>
      <c r="AC439" s="261">
        <v>35000000</v>
      </c>
      <c r="AD439" s="261">
        <v>0</v>
      </c>
      <c r="AE439" s="261">
        <v>0</v>
      </c>
      <c r="AF439" s="261">
        <v>0</v>
      </c>
      <c r="AG439" s="261">
        <v>0</v>
      </c>
      <c r="AH439" s="261">
        <v>0</v>
      </c>
      <c r="AI439" s="261">
        <v>0</v>
      </c>
      <c r="AJ439" s="261">
        <v>35000000</v>
      </c>
      <c r="AK439" s="261">
        <v>0</v>
      </c>
      <c r="AL439" s="261">
        <v>0</v>
      </c>
      <c r="AM439" s="261">
        <v>0</v>
      </c>
      <c r="AN439" s="261">
        <v>0</v>
      </c>
      <c r="AO439" s="261">
        <v>0</v>
      </c>
      <c r="AP439" s="261">
        <v>35000000</v>
      </c>
      <c r="AQ439" s="261"/>
      <c r="AS439" s="261"/>
    </row>
    <row r="440" spans="1:45" x14ac:dyDescent="0.25">
      <c r="A440" s="7">
        <v>3030102</v>
      </c>
      <c r="B440" s="8" t="s">
        <v>667</v>
      </c>
      <c r="C440" s="9">
        <f>+C441</f>
        <v>15000000</v>
      </c>
      <c r="D440" s="9">
        <f t="shared" ref="D440:R440" si="219">+D441</f>
        <v>0</v>
      </c>
      <c r="E440" s="9">
        <f t="shared" si="219"/>
        <v>0</v>
      </c>
      <c r="F440" s="9">
        <f t="shared" si="219"/>
        <v>0</v>
      </c>
      <c r="G440" s="9">
        <f t="shared" si="219"/>
        <v>15000000</v>
      </c>
      <c r="H440" s="9">
        <f t="shared" si="219"/>
        <v>0</v>
      </c>
      <c r="I440" s="9">
        <f t="shared" si="219"/>
        <v>0</v>
      </c>
      <c r="J440" s="9">
        <f t="shared" si="193"/>
        <v>15000000</v>
      </c>
      <c r="K440" s="9">
        <f t="shared" si="219"/>
        <v>0</v>
      </c>
      <c r="L440" s="9">
        <f t="shared" si="219"/>
        <v>0</v>
      </c>
      <c r="M440" s="9">
        <f t="shared" si="219"/>
        <v>0</v>
      </c>
      <c r="N440" s="9">
        <f t="shared" si="219"/>
        <v>0</v>
      </c>
      <c r="O440" s="9">
        <f t="shared" si="219"/>
        <v>0</v>
      </c>
      <c r="P440" s="9">
        <f t="shared" si="219"/>
        <v>0</v>
      </c>
      <c r="Q440" s="9">
        <f t="shared" si="194"/>
        <v>15000000</v>
      </c>
      <c r="R440" s="9">
        <f t="shared" si="219"/>
        <v>0</v>
      </c>
      <c r="T440" s="185">
        <v>3030102</v>
      </c>
      <c r="U440" s="259" t="s">
        <v>667</v>
      </c>
      <c r="V440" s="261">
        <v>15000000</v>
      </c>
      <c r="W440" s="261">
        <v>0</v>
      </c>
      <c r="X440" s="261">
        <v>0</v>
      </c>
      <c r="Y440" s="261">
        <v>0</v>
      </c>
      <c r="Z440" s="261">
        <v>15000000</v>
      </c>
      <c r="AA440" s="261">
        <v>0</v>
      </c>
      <c r="AB440" s="261">
        <v>0</v>
      </c>
      <c r="AC440" s="261">
        <v>15000000</v>
      </c>
      <c r="AD440" s="261">
        <v>0</v>
      </c>
      <c r="AE440" s="261">
        <v>0</v>
      </c>
      <c r="AF440" s="261">
        <v>0</v>
      </c>
      <c r="AG440" s="261">
        <v>0</v>
      </c>
      <c r="AH440" s="261">
        <v>0</v>
      </c>
      <c r="AI440" s="261">
        <v>0</v>
      </c>
      <c r="AJ440" s="261">
        <v>15000000</v>
      </c>
      <c r="AK440" s="261">
        <v>0</v>
      </c>
      <c r="AL440" s="261">
        <v>0</v>
      </c>
      <c r="AM440" s="261">
        <v>0</v>
      </c>
      <c r="AN440" s="261">
        <v>0</v>
      </c>
      <c r="AO440" s="261">
        <v>0</v>
      </c>
      <c r="AP440" s="261">
        <v>15000000</v>
      </c>
      <c r="AQ440" s="9"/>
      <c r="AS440" s="9"/>
    </row>
    <row r="441" spans="1:45" s="1" customFormat="1" x14ac:dyDescent="0.25">
      <c r="A441" s="7">
        <v>303010201</v>
      </c>
      <c r="B441" s="8" t="s">
        <v>668</v>
      </c>
      <c r="C441" s="9">
        <f>+C442+C443</f>
        <v>15000000</v>
      </c>
      <c r="D441" s="9">
        <f t="shared" ref="D441:R441" si="220">+D442+D443</f>
        <v>0</v>
      </c>
      <c r="E441" s="9">
        <f t="shared" si="220"/>
        <v>0</v>
      </c>
      <c r="F441" s="9">
        <f t="shared" si="220"/>
        <v>0</v>
      </c>
      <c r="G441" s="9">
        <f t="shared" si="220"/>
        <v>15000000</v>
      </c>
      <c r="H441" s="9">
        <f t="shared" si="220"/>
        <v>0</v>
      </c>
      <c r="I441" s="9">
        <f t="shared" si="220"/>
        <v>0</v>
      </c>
      <c r="J441" s="9">
        <f t="shared" si="193"/>
        <v>15000000</v>
      </c>
      <c r="K441" s="9">
        <f t="shared" si="220"/>
        <v>0</v>
      </c>
      <c r="L441" s="9">
        <f t="shared" si="220"/>
        <v>0</v>
      </c>
      <c r="M441" s="9">
        <f t="shared" si="220"/>
        <v>0</v>
      </c>
      <c r="N441" s="9">
        <f t="shared" si="220"/>
        <v>0</v>
      </c>
      <c r="O441" s="9">
        <f t="shared" si="220"/>
        <v>0</v>
      </c>
      <c r="P441" s="9">
        <f t="shared" si="220"/>
        <v>0</v>
      </c>
      <c r="Q441" s="9">
        <f t="shared" si="194"/>
        <v>15000000</v>
      </c>
      <c r="R441" s="9">
        <f t="shared" si="220"/>
        <v>0</v>
      </c>
      <c r="T441" s="185">
        <v>303010201</v>
      </c>
      <c r="U441" s="259" t="s">
        <v>668</v>
      </c>
      <c r="V441" s="261">
        <v>15000000</v>
      </c>
      <c r="W441" s="261">
        <v>0</v>
      </c>
      <c r="X441" s="261">
        <v>0</v>
      </c>
      <c r="Y441" s="261">
        <v>0</v>
      </c>
      <c r="Z441" s="261">
        <v>15000000</v>
      </c>
      <c r="AA441" s="261">
        <v>0</v>
      </c>
      <c r="AB441" s="261">
        <v>0</v>
      </c>
      <c r="AC441" s="261">
        <v>15000000</v>
      </c>
      <c r="AD441" s="261">
        <v>0</v>
      </c>
      <c r="AE441" s="261">
        <v>0</v>
      </c>
      <c r="AF441" s="261">
        <v>0</v>
      </c>
      <c r="AG441" s="261">
        <v>0</v>
      </c>
      <c r="AH441" s="261">
        <v>0</v>
      </c>
      <c r="AI441" s="261">
        <v>0</v>
      </c>
      <c r="AJ441" s="261">
        <v>15000000</v>
      </c>
      <c r="AK441" s="261">
        <v>0</v>
      </c>
      <c r="AL441" s="261">
        <v>0</v>
      </c>
      <c r="AM441" s="261">
        <v>0</v>
      </c>
      <c r="AN441" s="261">
        <v>0</v>
      </c>
      <c r="AO441" s="261">
        <v>0</v>
      </c>
      <c r="AP441" s="261">
        <v>15000000</v>
      </c>
      <c r="AQ441" s="9"/>
      <c r="AS441" s="9"/>
    </row>
    <row r="442" spans="1:45" s="1" customFormat="1" x14ac:dyDescent="0.25">
      <c r="A442" s="205">
        <v>30301020101</v>
      </c>
      <c r="B442" s="259" t="s">
        <v>669</v>
      </c>
      <c r="C442" s="261">
        <v>5000000</v>
      </c>
      <c r="D442" s="261">
        <v>0</v>
      </c>
      <c r="E442" s="261">
        <v>0</v>
      </c>
      <c r="F442" s="261">
        <v>0</v>
      </c>
      <c r="G442" s="261">
        <f>+C442+D442-E442+F442</f>
        <v>5000000</v>
      </c>
      <c r="H442" s="261">
        <v>0</v>
      </c>
      <c r="I442" s="261">
        <v>0</v>
      </c>
      <c r="J442" s="261">
        <f t="shared" si="193"/>
        <v>5000000</v>
      </c>
      <c r="K442" s="261">
        <v>0</v>
      </c>
      <c r="L442" s="261">
        <v>0</v>
      </c>
      <c r="M442" s="261">
        <f t="shared" si="198"/>
        <v>0</v>
      </c>
      <c r="N442" s="261">
        <v>0</v>
      </c>
      <c r="O442" s="261">
        <v>0</v>
      </c>
      <c r="P442" s="261">
        <f t="shared" si="196"/>
        <v>0</v>
      </c>
      <c r="Q442" s="177">
        <f t="shared" si="194"/>
        <v>5000000</v>
      </c>
      <c r="R442" s="261">
        <f t="shared" si="197"/>
        <v>0</v>
      </c>
      <c r="T442" s="185">
        <v>30301020101</v>
      </c>
      <c r="U442" s="259" t="s">
        <v>669</v>
      </c>
      <c r="V442" s="261">
        <v>5000000</v>
      </c>
      <c r="W442" s="261">
        <v>0</v>
      </c>
      <c r="X442" s="261">
        <v>0</v>
      </c>
      <c r="Y442" s="261">
        <v>0</v>
      </c>
      <c r="Z442" s="261">
        <v>5000000</v>
      </c>
      <c r="AA442" s="261">
        <v>0</v>
      </c>
      <c r="AB442" s="261">
        <v>0</v>
      </c>
      <c r="AC442" s="261">
        <v>5000000</v>
      </c>
      <c r="AD442" s="261">
        <v>0</v>
      </c>
      <c r="AE442" s="261">
        <v>0</v>
      </c>
      <c r="AF442" s="261">
        <v>0</v>
      </c>
      <c r="AG442" s="261">
        <v>0</v>
      </c>
      <c r="AH442" s="261">
        <v>0</v>
      </c>
      <c r="AI442" s="261">
        <v>0</v>
      </c>
      <c r="AJ442" s="261">
        <v>5000000</v>
      </c>
      <c r="AK442" s="261">
        <v>0</v>
      </c>
      <c r="AL442" s="261">
        <v>0</v>
      </c>
      <c r="AM442" s="261">
        <v>0</v>
      </c>
      <c r="AN442" s="261">
        <v>0</v>
      </c>
      <c r="AO442" s="261">
        <v>0</v>
      </c>
      <c r="AP442" s="261">
        <v>5000000</v>
      </c>
      <c r="AQ442" s="261"/>
      <c r="AS442" s="261"/>
    </row>
    <row r="443" spans="1:45" s="1" customFormat="1" x14ac:dyDescent="0.25">
      <c r="A443" s="204">
        <v>30301020103</v>
      </c>
      <c r="B443" s="259" t="s">
        <v>670</v>
      </c>
      <c r="C443" s="261">
        <v>10000000</v>
      </c>
      <c r="D443" s="261">
        <v>0</v>
      </c>
      <c r="E443" s="261">
        <v>0</v>
      </c>
      <c r="F443" s="261">
        <v>0</v>
      </c>
      <c r="G443" s="261">
        <f>+C443+D443-E443+F443</f>
        <v>10000000</v>
      </c>
      <c r="H443" s="261">
        <v>0</v>
      </c>
      <c r="I443" s="261">
        <v>0</v>
      </c>
      <c r="J443" s="261">
        <f t="shared" si="193"/>
        <v>10000000</v>
      </c>
      <c r="K443" s="261">
        <v>0</v>
      </c>
      <c r="L443" s="261">
        <v>0</v>
      </c>
      <c r="M443" s="261">
        <f t="shared" si="198"/>
        <v>0</v>
      </c>
      <c r="N443" s="261">
        <v>0</v>
      </c>
      <c r="O443" s="261">
        <v>0</v>
      </c>
      <c r="P443" s="261">
        <f t="shared" si="196"/>
        <v>0</v>
      </c>
      <c r="Q443" s="177">
        <f t="shared" si="194"/>
        <v>10000000</v>
      </c>
      <c r="R443" s="261">
        <f t="shared" si="197"/>
        <v>0</v>
      </c>
      <c r="S443" s="257"/>
      <c r="T443" s="185">
        <v>30301020103</v>
      </c>
      <c r="U443" s="259" t="s">
        <v>670</v>
      </c>
      <c r="V443" s="261">
        <v>10000000</v>
      </c>
      <c r="W443" s="261">
        <v>0</v>
      </c>
      <c r="X443" s="261">
        <v>0</v>
      </c>
      <c r="Y443" s="261">
        <v>0</v>
      </c>
      <c r="Z443" s="261">
        <v>10000000</v>
      </c>
      <c r="AA443" s="261">
        <v>0</v>
      </c>
      <c r="AB443" s="261">
        <v>0</v>
      </c>
      <c r="AC443" s="261">
        <v>10000000</v>
      </c>
      <c r="AD443" s="261">
        <v>0</v>
      </c>
      <c r="AE443" s="261">
        <v>0</v>
      </c>
      <c r="AF443" s="261">
        <v>0</v>
      </c>
      <c r="AG443" s="261">
        <v>0</v>
      </c>
      <c r="AH443" s="261">
        <v>0</v>
      </c>
      <c r="AI443" s="261">
        <v>0</v>
      </c>
      <c r="AJ443" s="261">
        <v>10000000</v>
      </c>
      <c r="AK443" s="261">
        <v>0</v>
      </c>
      <c r="AL443" s="261">
        <v>0</v>
      </c>
      <c r="AM443" s="261">
        <v>0</v>
      </c>
      <c r="AN443" s="261">
        <v>0</v>
      </c>
      <c r="AO443" s="261">
        <v>0</v>
      </c>
      <c r="AP443" s="261">
        <v>10000000</v>
      </c>
      <c r="AQ443" s="261"/>
      <c r="AS443" s="261"/>
    </row>
    <row r="444" spans="1:45" s="1" customFormat="1" x14ac:dyDescent="0.25">
      <c r="A444" s="4">
        <v>304</v>
      </c>
      <c r="B444" s="5" t="s">
        <v>671</v>
      </c>
      <c r="C444" s="6">
        <f>+C445+C465</f>
        <v>4961907532</v>
      </c>
      <c r="D444" s="6">
        <f t="shared" ref="D444:R444" si="221">+D445+D465</f>
        <v>0</v>
      </c>
      <c r="E444" s="6">
        <f t="shared" si="221"/>
        <v>204467681</v>
      </c>
      <c r="F444" s="6">
        <f t="shared" si="221"/>
        <v>1747000000</v>
      </c>
      <c r="G444" s="6">
        <f t="shared" si="221"/>
        <v>6504439851</v>
      </c>
      <c r="H444" s="6">
        <f t="shared" si="221"/>
        <v>290814417</v>
      </c>
      <c r="I444" s="6">
        <f t="shared" si="221"/>
        <v>2687552353.5300002</v>
      </c>
      <c r="J444" s="6">
        <f t="shared" si="193"/>
        <v>3816887497.4699998</v>
      </c>
      <c r="K444" s="6">
        <f t="shared" si="221"/>
        <v>536243188</v>
      </c>
      <c r="L444" s="6">
        <f t="shared" si="221"/>
        <v>1161994783.8699999</v>
      </c>
      <c r="M444" s="6">
        <f t="shared" si="221"/>
        <v>1525557569.6599998</v>
      </c>
      <c r="N444" s="6">
        <f t="shared" si="221"/>
        <v>359377483.75999999</v>
      </c>
      <c r="O444" s="6">
        <f t="shared" si="221"/>
        <v>3745705273.9300003</v>
      </c>
      <c r="P444" s="6">
        <f t="shared" si="221"/>
        <v>1058152920.4000001</v>
      </c>
      <c r="Q444" s="6">
        <f t="shared" si="194"/>
        <v>2758734577.0699997</v>
      </c>
      <c r="R444" s="6">
        <f t="shared" si="221"/>
        <v>1161994783.8699999</v>
      </c>
      <c r="S444" s="257"/>
      <c r="T444" s="185">
        <v>304</v>
      </c>
      <c r="U444" s="259" t="s">
        <v>671</v>
      </c>
      <c r="V444" s="261">
        <v>4951907532</v>
      </c>
      <c r="W444" s="261">
        <v>0</v>
      </c>
      <c r="X444" s="261">
        <v>204467681</v>
      </c>
      <c r="Y444" s="261">
        <v>1747000000</v>
      </c>
      <c r="Z444" s="261">
        <v>6494439851</v>
      </c>
      <c r="AA444" s="261">
        <v>290814417</v>
      </c>
      <c r="AB444" s="261">
        <v>2687552353.5300002</v>
      </c>
      <c r="AC444" s="261">
        <v>3806887497.4699998</v>
      </c>
      <c r="AD444" s="261">
        <v>536243188</v>
      </c>
      <c r="AE444" s="261">
        <v>1161994783.8699999</v>
      </c>
      <c r="AF444" s="261">
        <v>1525557569.6600003</v>
      </c>
      <c r="AG444" s="261">
        <v>359377483.75999999</v>
      </c>
      <c r="AH444" s="261">
        <v>3745705273.9300003</v>
      </c>
      <c r="AI444" s="261">
        <v>1058152920.4000001</v>
      </c>
      <c r="AJ444" s="261">
        <v>2748734577.0699997</v>
      </c>
      <c r="AK444" s="261">
        <v>271841983.63</v>
      </c>
      <c r="AL444" s="261">
        <v>324960199.75999999</v>
      </c>
      <c r="AM444" s="261">
        <v>3983129973.5600004</v>
      </c>
      <c r="AN444" s="261">
        <v>3711287989.9300003</v>
      </c>
      <c r="AO444" s="261">
        <v>1131191086.4000001</v>
      </c>
      <c r="AP444" s="261">
        <v>2783151861.0699997</v>
      </c>
      <c r="AQ444" s="6"/>
      <c r="AS444" s="6"/>
    </row>
    <row r="445" spans="1:45" x14ac:dyDescent="0.25">
      <c r="A445" s="4">
        <v>30401</v>
      </c>
      <c r="B445" s="5" t="s">
        <v>672</v>
      </c>
      <c r="C445" s="6">
        <f>+C446</f>
        <v>4446907532</v>
      </c>
      <c r="D445" s="6">
        <f t="shared" ref="D445:R445" si="222">+D446</f>
        <v>0</v>
      </c>
      <c r="E445" s="6">
        <f t="shared" si="222"/>
        <v>204467681</v>
      </c>
      <c r="F445" s="6">
        <f t="shared" si="222"/>
        <v>1747000000</v>
      </c>
      <c r="G445" s="6">
        <f t="shared" si="222"/>
        <v>5989439851</v>
      </c>
      <c r="H445" s="6">
        <f t="shared" si="222"/>
        <v>290814417</v>
      </c>
      <c r="I445" s="6">
        <f t="shared" si="222"/>
        <v>2580156134.52</v>
      </c>
      <c r="J445" s="6">
        <f t="shared" si="193"/>
        <v>3409283716.48</v>
      </c>
      <c r="K445" s="6">
        <f t="shared" si="222"/>
        <v>536243188</v>
      </c>
      <c r="L445" s="6">
        <f t="shared" si="222"/>
        <v>1161994783.8699999</v>
      </c>
      <c r="M445" s="6">
        <f t="shared" si="222"/>
        <v>1418161350.6499999</v>
      </c>
      <c r="N445" s="6">
        <f t="shared" si="222"/>
        <v>359377483.75999999</v>
      </c>
      <c r="O445" s="6">
        <f t="shared" si="222"/>
        <v>3638309054.9200001</v>
      </c>
      <c r="P445" s="6">
        <f t="shared" si="222"/>
        <v>1058152920.4000001</v>
      </c>
      <c r="Q445" s="6">
        <f t="shared" si="194"/>
        <v>2351130796.0799999</v>
      </c>
      <c r="R445" s="6">
        <f t="shared" si="222"/>
        <v>1161994783.8699999</v>
      </c>
      <c r="S445" s="1"/>
      <c r="T445" s="185">
        <v>30401</v>
      </c>
      <c r="U445" s="259" t="s">
        <v>672</v>
      </c>
      <c r="V445" s="261">
        <v>4436907532</v>
      </c>
      <c r="W445" s="261">
        <v>0</v>
      </c>
      <c r="X445" s="261">
        <v>204467681</v>
      </c>
      <c r="Y445" s="261">
        <v>1747000000</v>
      </c>
      <c r="Z445" s="261">
        <v>5979439851</v>
      </c>
      <c r="AA445" s="261">
        <v>290814417</v>
      </c>
      <c r="AB445" s="261">
        <v>2580156134.52</v>
      </c>
      <c r="AC445" s="261">
        <v>3399283716.48</v>
      </c>
      <c r="AD445" s="261">
        <v>536243188</v>
      </c>
      <c r="AE445" s="261">
        <v>1161994783.8699999</v>
      </c>
      <c r="AF445" s="261">
        <v>1418161350.6500001</v>
      </c>
      <c r="AG445" s="261">
        <v>359377483.75999999</v>
      </c>
      <c r="AH445" s="261">
        <v>3638309054.9200001</v>
      </c>
      <c r="AI445" s="261">
        <v>1058152920.4000001</v>
      </c>
      <c r="AJ445" s="261">
        <v>2341130796.0799999</v>
      </c>
      <c r="AK445" s="261">
        <v>271841983.63</v>
      </c>
      <c r="AL445" s="261">
        <v>324960199.75999999</v>
      </c>
      <c r="AM445" s="261">
        <v>3875733754.5500002</v>
      </c>
      <c r="AN445" s="261">
        <v>3603891770.9200001</v>
      </c>
      <c r="AO445" s="261">
        <v>1131191086.4000001</v>
      </c>
      <c r="AP445" s="261">
        <v>2375548080.0799999</v>
      </c>
      <c r="AQ445" s="6"/>
      <c r="AS445" s="6"/>
    </row>
    <row r="446" spans="1:45" s="1" customFormat="1" x14ac:dyDescent="0.25">
      <c r="A446" s="7">
        <v>3040101</v>
      </c>
      <c r="B446" s="8" t="s">
        <v>673</v>
      </c>
      <c r="C446" s="9">
        <f>+C447+C449+C452+C455+C459+C462</f>
        <v>4446907532</v>
      </c>
      <c r="D446" s="9">
        <f t="shared" ref="D446:R446" si="223">+D447+D449+D452+D455+D459+D462</f>
        <v>0</v>
      </c>
      <c r="E446" s="9">
        <f t="shared" si="223"/>
        <v>204467681</v>
      </c>
      <c r="F446" s="9">
        <f t="shared" si="223"/>
        <v>1747000000</v>
      </c>
      <c r="G446" s="9">
        <f t="shared" si="223"/>
        <v>5989439851</v>
      </c>
      <c r="H446" s="9">
        <f t="shared" si="223"/>
        <v>290814417</v>
      </c>
      <c r="I446" s="9">
        <f t="shared" si="223"/>
        <v>2580156134.52</v>
      </c>
      <c r="J446" s="9">
        <f t="shared" si="193"/>
        <v>3409283716.48</v>
      </c>
      <c r="K446" s="9">
        <f t="shared" si="223"/>
        <v>536243188</v>
      </c>
      <c r="L446" s="9">
        <f t="shared" si="223"/>
        <v>1161994783.8699999</v>
      </c>
      <c r="M446" s="9">
        <f t="shared" si="223"/>
        <v>1418161350.6499999</v>
      </c>
      <c r="N446" s="9">
        <f t="shared" si="223"/>
        <v>359377483.75999999</v>
      </c>
      <c r="O446" s="9">
        <f t="shared" si="223"/>
        <v>3638309054.9200001</v>
      </c>
      <c r="P446" s="9">
        <f t="shared" si="223"/>
        <v>1058152920.4000001</v>
      </c>
      <c r="Q446" s="9">
        <f t="shared" si="194"/>
        <v>2351130796.0799999</v>
      </c>
      <c r="R446" s="9">
        <f t="shared" si="223"/>
        <v>1161994783.8699999</v>
      </c>
      <c r="T446" s="185">
        <v>3040101</v>
      </c>
      <c r="U446" s="259" t="s">
        <v>673</v>
      </c>
      <c r="V446" s="261">
        <v>4436907532</v>
      </c>
      <c r="W446" s="261">
        <v>0</v>
      </c>
      <c r="X446" s="261">
        <v>204467681</v>
      </c>
      <c r="Y446" s="261">
        <v>1747000000</v>
      </c>
      <c r="Z446" s="261">
        <v>5979439851</v>
      </c>
      <c r="AA446" s="261">
        <v>290814417</v>
      </c>
      <c r="AB446" s="261">
        <v>2580156134.52</v>
      </c>
      <c r="AC446" s="261">
        <v>3399283716.48</v>
      </c>
      <c r="AD446" s="261">
        <v>536243188</v>
      </c>
      <c r="AE446" s="261">
        <v>1161994783.8699999</v>
      </c>
      <c r="AF446" s="261">
        <v>1418161350.6500001</v>
      </c>
      <c r="AG446" s="261">
        <v>359377483.75999999</v>
      </c>
      <c r="AH446" s="261">
        <v>3638309054.9200001</v>
      </c>
      <c r="AI446" s="261">
        <v>1058152920.4000001</v>
      </c>
      <c r="AJ446" s="261">
        <v>2341130796.0799999</v>
      </c>
      <c r="AK446" s="261">
        <v>271841983.63</v>
      </c>
      <c r="AL446" s="261">
        <v>324960199.75999999</v>
      </c>
      <c r="AM446" s="261">
        <v>3875733754.5500002</v>
      </c>
      <c r="AN446" s="261">
        <v>3603891770.9200001</v>
      </c>
      <c r="AO446" s="261">
        <v>1131191086.4000001</v>
      </c>
      <c r="AP446" s="261">
        <v>2375548080.0799999</v>
      </c>
      <c r="AQ446" s="9"/>
      <c r="AS446" s="9"/>
    </row>
    <row r="447" spans="1:45" x14ac:dyDescent="0.25">
      <c r="A447" s="7">
        <v>304010101</v>
      </c>
      <c r="B447" s="8" t="s">
        <v>674</v>
      </c>
      <c r="C447" s="9">
        <f>+C448</f>
        <v>10000000</v>
      </c>
      <c r="D447" s="9">
        <f t="shared" ref="D447:R447" si="224">+D448</f>
        <v>0</v>
      </c>
      <c r="E447" s="9">
        <f t="shared" si="224"/>
        <v>0</v>
      </c>
      <c r="F447" s="9">
        <f t="shared" si="224"/>
        <v>0</v>
      </c>
      <c r="G447" s="9">
        <f t="shared" si="224"/>
        <v>10000000</v>
      </c>
      <c r="H447" s="9">
        <f t="shared" si="224"/>
        <v>0</v>
      </c>
      <c r="I447" s="9">
        <f t="shared" si="224"/>
        <v>0</v>
      </c>
      <c r="J447" s="9">
        <f t="shared" si="193"/>
        <v>10000000</v>
      </c>
      <c r="K447" s="9">
        <f t="shared" si="224"/>
        <v>0</v>
      </c>
      <c r="L447" s="9">
        <f t="shared" si="224"/>
        <v>0</v>
      </c>
      <c r="M447" s="9">
        <f t="shared" si="224"/>
        <v>0</v>
      </c>
      <c r="N447" s="9">
        <f t="shared" si="224"/>
        <v>0</v>
      </c>
      <c r="O447" s="9">
        <f t="shared" si="224"/>
        <v>0</v>
      </c>
      <c r="P447" s="9">
        <f t="shared" si="224"/>
        <v>0</v>
      </c>
      <c r="Q447" s="9">
        <f t="shared" si="194"/>
        <v>10000000</v>
      </c>
      <c r="R447" s="9">
        <f t="shared" si="224"/>
        <v>0</v>
      </c>
      <c r="S447" s="1"/>
      <c r="T447" s="185">
        <v>304010101</v>
      </c>
      <c r="U447" s="259" t="s">
        <v>674</v>
      </c>
      <c r="V447" s="261">
        <v>10000000</v>
      </c>
      <c r="W447" s="261">
        <v>0</v>
      </c>
      <c r="X447" s="261">
        <v>0</v>
      </c>
      <c r="Y447" s="261">
        <v>0</v>
      </c>
      <c r="Z447" s="261">
        <v>10000000</v>
      </c>
      <c r="AA447" s="261">
        <v>0</v>
      </c>
      <c r="AB447" s="261">
        <v>0</v>
      </c>
      <c r="AC447" s="261">
        <v>10000000</v>
      </c>
      <c r="AD447" s="261">
        <v>0</v>
      </c>
      <c r="AE447" s="261">
        <v>0</v>
      </c>
      <c r="AF447" s="261">
        <v>0</v>
      </c>
      <c r="AG447" s="261">
        <v>0</v>
      </c>
      <c r="AH447" s="261">
        <v>0</v>
      </c>
      <c r="AI447" s="261">
        <v>0</v>
      </c>
      <c r="AJ447" s="261">
        <v>10000000</v>
      </c>
      <c r="AK447" s="261">
        <v>0</v>
      </c>
      <c r="AL447" s="261">
        <v>0</v>
      </c>
      <c r="AM447" s="261">
        <v>0</v>
      </c>
      <c r="AN447" s="261">
        <v>0</v>
      </c>
      <c r="AO447" s="261">
        <v>0</v>
      </c>
      <c r="AP447" s="261">
        <v>10000000</v>
      </c>
      <c r="AQ447" s="9"/>
      <c r="AS447" s="9"/>
    </row>
    <row r="448" spans="1:45" x14ac:dyDescent="0.25">
      <c r="A448" s="205">
        <v>30401010101</v>
      </c>
      <c r="B448" s="259" t="s">
        <v>675</v>
      </c>
      <c r="C448" s="261">
        <v>10000000</v>
      </c>
      <c r="D448" s="261">
        <v>0</v>
      </c>
      <c r="E448" s="261">
        <v>0</v>
      </c>
      <c r="F448" s="261">
        <v>0</v>
      </c>
      <c r="G448" s="261">
        <f>+C448+D448-E448+F448</f>
        <v>10000000</v>
      </c>
      <c r="H448" s="261">
        <v>0</v>
      </c>
      <c r="I448" s="261">
        <v>0</v>
      </c>
      <c r="J448" s="261">
        <f t="shared" si="193"/>
        <v>10000000</v>
      </c>
      <c r="K448" s="261">
        <v>0</v>
      </c>
      <c r="L448" s="261">
        <v>0</v>
      </c>
      <c r="M448" s="261">
        <f t="shared" si="198"/>
        <v>0</v>
      </c>
      <c r="N448" s="261">
        <v>0</v>
      </c>
      <c r="O448" s="261">
        <v>0</v>
      </c>
      <c r="P448" s="261">
        <f t="shared" si="196"/>
        <v>0</v>
      </c>
      <c r="Q448" s="177">
        <f t="shared" si="194"/>
        <v>10000000</v>
      </c>
      <c r="R448" s="261">
        <f t="shared" si="197"/>
        <v>0</v>
      </c>
      <c r="S448" s="1"/>
      <c r="T448" s="185">
        <v>30401010101</v>
      </c>
      <c r="U448" s="259" t="s">
        <v>675</v>
      </c>
      <c r="V448" s="261">
        <v>10000000</v>
      </c>
      <c r="W448" s="261">
        <v>0</v>
      </c>
      <c r="X448" s="261">
        <v>0</v>
      </c>
      <c r="Y448" s="261">
        <v>0</v>
      </c>
      <c r="Z448" s="261">
        <v>10000000</v>
      </c>
      <c r="AA448" s="261">
        <v>0</v>
      </c>
      <c r="AB448" s="261">
        <v>0</v>
      </c>
      <c r="AC448" s="261">
        <v>10000000</v>
      </c>
      <c r="AD448" s="261">
        <v>0</v>
      </c>
      <c r="AE448" s="261">
        <v>0</v>
      </c>
      <c r="AF448" s="261">
        <v>0</v>
      </c>
      <c r="AG448" s="261">
        <v>0</v>
      </c>
      <c r="AH448" s="261">
        <v>0</v>
      </c>
      <c r="AI448" s="261">
        <v>0</v>
      </c>
      <c r="AJ448" s="261">
        <v>10000000</v>
      </c>
      <c r="AK448" s="261">
        <v>0</v>
      </c>
      <c r="AL448" s="261">
        <v>0</v>
      </c>
      <c r="AM448" s="261">
        <v>0</v>
      </c>
      <c r="AN448" s="261">
        <v>0</v>
      </c>
      <c r="AO448" s="261">
        <v>0</v>
      </c>
      <c r="AP448" s="261">
        <v>10000000</v>
      </c>
      <c r="AQ448" s="261"/>
      <c r="AS448" s="261"/>
    </row>
    <row r="449" spans="1:45" s="1" customFormat="1" x14ac:dyDescent="0.25">
      <c r="A449" s="7">
        <v>304010102</v>
      </c>
      <c r="B449" s="8" t="s">
        <v>676</v>
      </c>
      <c r="C449" s="9">
        <f>+C450+C451</f>
        <v>200000000</v>
      </c>
      <c r="D449" s="9">
        <f t="shared" ref="D449:R449" si="225">+D450+D451</f>
        <v>0</v>
      </c>
      <c r="E449" s="9">
        <f t="shared" si="225"/>
        <v>0</v>
      </c>
      <c r="F449" s="9">
        <f t="shared" si="225"/>
        <v>147000000</v>
      </c>
      <c r="G449" s="9">
        <f t="shared" si="225"/>
        <v>347000000</v>
      </c>
      <c r="H449" s="9">
        <f t="shared" si="225"/>
        <v>147000000</v>
      </c>
      <c r="I449" s="9">
        <f t="shared" si="225"/>
        <v>247000000</v>
      </c>
      <c r="J449" s="9">
        <f t="shared" si="193"/>
        <v>100000000</v>
      </c>
      <c r="K449" s="9">
        <f t="shared" si="225"/>
        <v>23350000</v>
      </c>
      <c r="L449" s="9">
        <f t="shared" si="225"/>
        <v>82269011</v>
      </c>
      <c r="M449" s="9">
        <f t="shared" si="225"/>
        <v>164730989</v>
      </c>
      <c r="N449" s="9">
        <f t="shared" si="225"/>
        <v>0</v>
      </c>
      <c r="O449" s="9">
        <f t="shared" si="225"/>
        <v>247000000</v>
      </c>
      <c r="P449" s="9">
        <f t="shared" si="225"/>
        <v>0</v>
      </c>
      <c r="Q449" s="9">
        <f t="shared" si="194"/>
        <v>100000000</v>
      </c>
      <c r="R449" s="9">
        <f t="shared" si="225"/>
        <v>82269011</v>
      </c>
      <c r="S449" s="257"/>
      <c r="T449" s="185">
        <v>304010102</v>
      </c>
      <c r="U449" s="259" t="s">
        <v>676</v>
      </c>
      <c r="V449" s="261">
        <v>200000000</v>
      </c>
      <c r="W449" s="261">
        <v>0</v>
      </c>
      <c r="X449" s="261">
        <v>0</v>
      </c>
      <c r="Y449" s="261">
        <v>147000000</v>
      </c>
      <c r="Z449" s="261">
        <v>347000000</v>
      </c>
      <c r="AA449" s="261">
        <v>147000000</v>
      </c>
      <c r="AB449" s="261">
        <v>247000000</v>
      </c>
      <c r="AC449" s="261">
        <v>100000000</v>
      </c>
      <c r="AD449" s="261">
        <v>23350000</v>
      </c>
      <c r="AE449" s="261">
        <v>82269011</v>
      </c>
      <c r="AF449" s="261">
        <v>164730989</v>
      </c>
      <c r="AG449" s="261">
        <v>0</v>
      </c>
      <c r="AH449" s="261">
        <v>247000000</v>
      </c>
      <c r="AI449" s="261">
        <v>0</v>
      </c>
      <c r="AJ449" s="261">
        <v>100000000</v>
      </c>
      <c r="AK449" s="261">
        <v>0</v>
      </c>
      <c r="AL449" s="261">
        <v>0</v>
      </c>
      <c r="AM449" s="261">
        <v>247000000</v>
      </c>
      <c r="AN449" s="261">
        <v>247000000</v>
      </c>
      <c r="AO449" s="261">
        <v>0</v>
      </c>
      <c r="AP449" s="261">
        <v>100000000</v>
      </c>
      <c r="AQ449" s="9"/>
      <c r="AS449" s="9"/>
    </row>
    <row r="450" spans="1:45" x14ac:dyDescent="0.25">
      <c r="A450" s="205">
        <v>30401010201</v>
      </c>
      <c r="B450" s="259" t="s">
        <v>677</v>
      </c>
      <c r="C450" s="261">
        <v>100000000</v>
      </c>
      <c r="D450" s="261">
        <v>0</v>
      </c>
      <c r="E450" s="261">
        <v>0</v>
      </c>
      <c r="F450" s="261">
        <v>0</v>
      </c>
      <c r="G450" s="261">
        <f>+C450+D450-E450+F450</f>
        <v>100000000</v>
      </c>
      <c r="H450" s="261">
        <v>0</v>
      </c>
      <c r="I450" s="261">
        <v>0</v>
      </c>
      <c r="J450" s="261">
        <f t="shared" si="193"/>
        <v>100000000</v>
      </c>
      <c r="K450" s="261">
        <v>0</v>
      </c>
      <c r="L450" s="261">
        <v>0</v>
      </c>
      <c r="M450" s="261">
        <f t="shared" si="198"/>
        <v>0</v>
      </c>
      <c r="N450" s="261">
        <v>0</v>
      </c>
      <c r="O450" s="261">
        <v>0</v>
      </c>
      <c r="P450" s="261">
        <f t="shared" si="196"/>
        <v>0</v>
      </c>
      <c r="Q450" s="177">
        <f t="shared" si="194"/>
        <v>100000000</v>
      </c>
      <c r="R450" s="261">
        <f t="shared" si="197"/>
        <v>0</v>
      </c>
      <c r="S450" s="1"/>
      <c r="T450" s="185">
        <v>30401010201</v>
      </c>
      <c r="U450" s="259" t="s">
        <v>677</v>
      </c>
      <c r="V450" s="261">
        <v>100000000</v>
      </c>
      <c r="W450" s="261">
        <v>0</v>
      </c>
      <c r="X450" s="261">
        <v>0</v>
      </c>
      <c r="Y450" s="261">
        <v>0</v>
      </c>
      <c r="Z450" s="261">
        <v>100000000</v>
      </c>
      <c r="AA450" s="261">
        <v>0</v>
      </c>
      <c r="AB450" s="261">
        <v>0</v>
      </c>
      <c r="AC450" s="261">
        <v>100000000</v>
      </c>
      <c r="AD450" s="261">
        <v>0</v>
      </c>
      <c r="AE450" s="261">
        <v>0</v>
      </c>
      <c r="AF450" s="261">
        <v>0</v>
      </c>
      <c r="AG450" s="261">
        <v>0</v>
      </c>
      <c r="AH450" s="261">
        <v>0</v>
      </c>
      <c r="AI450" s="261">
        <v>0</v>
      </c>
      <c r="AJ450" s="261">
        <v>100000000</v>
      </c>
      <c r="AK450" s="261">
        <v>0</v>
      </c>
      <c r="AL450" s="261">
        <v>0</v>
      </c>
      <c r="AM450" s="261">
        <v>0</v>
      </c>
      <c r="AN450" s="261">
        <v>0</v>
      </c>
      <c r="AO450" s="261">
        <v>0</v>
      </c>
      <c r="AP450" s="261">
        <v>100000000</v>
      </c>
      <c r="AQ450" s="261"/>
      <c r="AS450" s="261"/>
    </row>
    <row r="451" spans="1:45" x14ac:dyDescent="0.25">
      <c r="A451" s="204">
        <v>30401010203</v>
      </c>
      <c r="B451" s="259" t="s">
        <v>678</v>
      </c>
      <c r="C451" s="261">
        <v>100000000</v>
      </c>
      <c r="D451" s="261">
        <v>0</v>
      </c>
      <c r="E451" s="261">
        <v>0</v>
      </c>
      <c r="F451" s="261">
        <v>147000000</v>
      </c>
      <c r="G451" s="261">
        <f>+C451+D451-E451+F451</f>
        <v>247000000</v>
      </c>
      <c r="H451" s="261">
        <v>147000000</v>
      </c>
      <c r="I451" s="261">
        <v>247000000</v>
      </c>
      <c r="J451" s="261">
        <f t="shared" si="193"/>
        <v>0</v>
      </c>
      <c r="K451" s="261">
        <v>23350000</v>
      </c>
      <c r="L451" s="261">
        <v>82269011</v>
      </c>
      <c r="M451" s="261">
        <f t="shared" si="198"/>
        <v>164730989</v>
      </c>
      <c r="N451" s="261">
        <v>0</v>
      </c>
      <c r="O451" s="261">
        <v>247000000</v>
      </c>
      <c r="P451" s="261">
        <f t="shared" si="196"/>
        <v>0</v>
      </c>
      <c r="Q451" s="177">
        <f t="shared" si="194"/>
        <v>0</v>
      </c>
      <c r="R451" s="261">
        <f t="shared" si="197"/>
        <v>82269011</v>
      </c>
      <c r="T451" s="185">
        <v>30401010203</v>
      </c>
      <c r="U451" s="259" t="s">
        <v>678</v>
      </c>
      <c r="V451" s="261">
        <v>100000000</v>
      </c>
      <c r="W451" s="261">
        <v>0</v>
      </c>
      <c r="X451" s="261">
        <v>0</v>
      </c>
      <c r="Y451" s="261">
        <v>147000000</v>
      </c>
      <c r="Z451" s="261">
        <v>247000000</v>
      </c>
      <c r="AA451" s="261">
        <v>147000000</v>
      </c>
      <c r="AB451" s="261">
        <v>247000000</v>
      </c>
      <c r="AC451" s="261">
        <v>0</v>
      </c>
      <c r="AD451" s="261">
        <v>23350000</v>
      </c>
      <c r="AE451" s="261">
        <v>82269011</v>
      </c>
      <c r="AF451" s="261">
        <v>164730989</v>
      </c>
      <c r="AG451" s="261">
        <v>0</v>
      </c>
      <c r="AH451" s="261">
        <v>247000000</v>
      </c>
      <c r="AI451" s="261">
        <v>0</v>
      </c>
      <c r="AJ451" s="261">
        <v>0</v>
      </c>
      <c r="AK451" s="261">
        <v>0</v>
      </c>
      <c r="AL451" s="261">
        <v>0</v>
      </c>
      <c r="AM451" s="261">
        <v>247000000</v>
      </c>
      <c r="AN451" s="261">
        <v>247000000</v>
      </c>
      <c r="AO451" s="261">
        <v>0</v>
      </c>
      <c r="AP451" s="261">
        <v>0</v>
      </c>
      <c r="AQ451" s="261"/>
      <c r="AS451" s="261"/>
    </row>
    <row r="452" spans="1:45" s="1" customFormat="1" x14ac:dyDescent="0.25">
      <c r="A452" s="7">
        <v>304010104</v>
      </c>
      <c r="B452" s="8" t="s">
        <v>679</v>
      </c>
      <c r="C452" s="9">
        <f>+C453+C454</f>
        <v>50000000</v>
      </c>
      <c r="D452" s="9">
        <f t="shared" ref="D452:R452" si="226">+D453+D454</f>
        <v>0</v>
      </c>
      <c r="E452" s="9">
        <f t="shared" si="226"/>
        <v>0</v>
      </c>
      <c r="F452" s="9">
        <f t="shared" si="226"/>
        <v>0</v>
      </c>
      <c r="G452" s="9">
        <f t="shared" si="226"/>
        <v>50000000</v>
      </c>
      <c r="H452" s="9">
        <f t="shared" si="226"/>
        <v>0</v>
      </c>
      <c r="I452" s="9">
        <f t="shared" si="226"/>
        <v>7725419</v>
      </c>
      <c r="J452" s="9">
        <f t="shared" si="193"/>
        <v>42274581</v>
      </c>
      <c r="K452" s="9">
        <f t="shared" si="226"/>
        <v>6901000</v>
      </c>
      <c r="L452" s="9">
        <f t="shared" si="226"/>
        <v>7725419</v>
      </c>
      <c r="M452" s="9">
        <f t="shared" si="226"/>
        <v>0</v>
      </c>
      <c r="N452" s="9">
        <f t="shared" si="226"/>
        <v>0</v>
      </c>
      <c r="O452" s="9">
        <f t="shared" si="226"/>
        <v>7725419</v>
      </c>
      <c r="P452" s="9">
        <f t="shared" si="226"/>
        <v>0</v>
      </c>
      <c r="Q452" s="9">
        <f t="shared" si="194"/>
        <v>42274581</v>
      </c>
      <c r="R452" s="9">
        <f t="shared" si="226"/>
        <v>7725419</v>
      </c>
      <c r="S452" s="257"/>
      <c r="T452" s="185">
        <v>304010104</v>
      </c>
      <c r="U452" s="259" t="s">
        <v>679</v>
      </c>
      <c r="V452" s="261">
        <v>50000000</v>
      </c>
      <c r="W452" s="261">
        <v>0</v>
      </c>
      <c r="X452" s="261">
        <v>0</v>
      </c>
      <c r="Y452" s="261">
        <v>0</v>
      </c>
      <c r="Z452" s="261">
        <v>50000000</v>
      </c>
      <c r="AA452" s="261">
        <v>0</v>
      </c>
      <c r="AB452" s="261">
        <v>7725419</v>
      </c>
      <c r="AC452" s="261">
        <v>42274581</v>
      </c>
      <c r="AD452" s="261">
        <v>6901000</v>
      </c>
      <c r="AE452" s="261">
        <v>7725419</v>
      </c>
      <c r="AF452" s="261">
        <v>0</v>
      </c>
      <c r="AG452" s="261">
        <v>0</v>
      </c>
      <c r="AH452" s="261">
        <v>7725419</v>
      </c>
      <c r="AI452" s="261">
        <v>0</v>
      </c>
      <c r="AJ452" s="261">
        <v>42274581</v>
      </c>
      <c r="AK452" s="261">
        <v>0</v>
      </c>
      <c r="AL452" s="261">
        <v>0</v>
      </c>
      <c r="AM452" s="261">
        <v>7725419</v>
      </c>
      <c r="AN452" s="261">
        <v>7725419</v>
      </c>
      <c r="AO452" s="261">
        <v>0</v>
      </c>
      <c r="AP452" s="261">
        <v>42274581</v>
      </c>
      <c r="AQ452" s="9"/>
      <c r="AS452" s="9"/>
    </row>
    <row r="453" spans="1:45" x14ac:dyDescent="0.25">
      <c r="A453" s="206">
        <v>30401010402</v>
      </c>
      <c r="B453" s="259" t="s">
        <v>680</v>
      </c>
      <c r="C453" s="261">
        <v>35000000</v>
      </c>
      <c r="D453" s="261">
        <v>0</v>
      </c>
      <c r="E453" s="261">
        <v>0</v>
      </c>
      <c r="F453" s="261">
        <v>0</v>
      </c>
      <c r="G453" s="261">
        <f>+C453+D453-E453+F453</f>
        <v>35000000</v>
      </c>
      <c r="H453" s="261">
        <v>0</v>
      </c>
      <c r="I453" s="261">
        <v>0</v>
      </c>
      <c r="J453" s="261">
        <f t="shared" si="193"/>
        <v>35000000</v>
      </c>
      <c r="K453" s="261">
        <v>0</v>
      </c>
      <c r="L453" s="261">
        <v>0</v>
      </c>
      <c r="M453" s="261">
        <f t="shared" si="198"/>
        <v>0</v>
      </c>
      <c r="N453" s="261">
        <v>0</v>
      </c>
      <c r="O453" s="261">
        <v>0</v>
      </c>
      <c r="P453" s="261">
        <f t="shared" si="196"/>
        <v>0</v>
      </c>
      <c r="Q453" s="177">
        <f t="shared" si="194"/>
        <v>35000000</v>
      </c>
      <c r="R453" s="261">
        <f t="shared" si="197"/>
        <v>0</v>
      </c>
      <c r="S453" s="1"/>
      <c r="T453" s="185">
        <v>30401010402</v>
      </c>
      <c r="U453" s="259" t="s">
        <v>680</v>
      </c>
      <c r="V453" s="261">
        <v>35000000</v>
      </c>
      <c r="W453" s="261">
        <v>0</v>
      </c>
      <c r="X453" s="261">
        <v>0</v>
      </c>
      <c r="Y453" s="261">
        <v>0</v>
      </c>
      <c r="Z453" s="261">
        <v>35000000</v>
      </c>
      <c r="AA453" s="261">
        <v>0</v>
      </c>
      <c r="AB453" s="261">
        <v>0</v>
      </c>
      <c r="AC453" s="261">
        <v>35000000</v>
      </c>
      <c r="AD453" s="261">
        <v>0</v>
      </c>
      <c r="AE453" s="261">
        <v>0</v>
      </c>
      <c r="AF453" s="261">
        <v>0</v>
      </c>
      <c r="AG453" s="261">
        <v>0</v>
      </c>
      <c r="AH453" s="261">
        <v>0</v>
      </c>
      <c r="AI453" s="261">
        <v>0</v>
      </c>
      <c r="AJ453" s="261">
        <v>35000000</v>
      </c>
      <c r="AK453" s="261">
        <v>0</v>
      </c>
      <c r="AL453" s="261">
        <v>0</v>
      </c>
      <c r="AM453" s="261">
        <v>0</v>
      </c>
      <c r="AN453" s="261">
        <v>0</v>
      </c>
      <c r="AO453" s="261">
        <v>0</v>
      </c>
      <c r="AP453" s="261">
        <v>35000000</v>
      </c>
      <c r="AQ453" s="261"/>
      <c r="AS453" s="261"/>
    </row>
    <row r="454" spans="1:45" x14ac:dyDescent="0.25">
      <c r="A454" s="204">
        <v>30401010403</v>
      </c>
      <c r="B454" s="259" t="s">
        <v>681</v>
      </c>
      <c r="C454" s="261">
        <v>15000000</v>
      </c>
      <c r="D454" s="261">
        <v>0</v>
      </c>
      <c r="E454" s="261">
        <v>0</v>
      </c>
      <c r="F454" s="261">
        <v>0</v>
      </c>
      <c r="G454" s="261">
        <f>+C454+D454-E454+F454</f>
        <v>15000000</v>
      </c>
      <c r="H454" s="261">
        <v>0</v>
      </c>
      <c r="I454" s="261">
        <v>7725419</v>
      </c>
      <c r="J454" s="261">
        <f t="shared" si="193"/>
        <v>7274581</v>
      </c>
      <c r="K454" s="261">
        <v>6901000</v>
      </c>
      <c r="L454" s="261">
        <v>7725419</v>
      </c>
      <c r="M454" s="261">
        <f t="shared" si="198"/>
        <v>0</v>
      </c>
      <c r="N454" s="261">
        <v>0</v>
      </c>
      <c r="O454" s="261">
        <v>7725419</v>
      </c>
      <c r="P454" s="261">
        <f t="shared" si="196"/>
        <v>0</v>
      </c>
      <c r="Q454" s="177">
        <f t="shared" si="194"/>
        <v>7274581</v>
      </c>
      <c r="R454" s="261">
        <f t="shared" si="197"/>
        <v>7725419</v>
      </c>
      <c r="T454" s="185">
        <v>30401010403</v>
      </c>
      <c r="U454" s="259" t="s">
        <v>681</v>
      </c>
      <c r="V454" s="261">
        <v>15000000</v>
      </c>
      <c r="W454" s="261">
        <v>0</v>
      </c>
      <c r="X454" s="261">
        <v>0</v>
      </c>
      <c r="Y454" s="261">
        <v>0</v>
      </c>
      <c r="Z454" s="261">
        <v>15000000</v>
      </c>
      <c r="AA454" s="261">
        <v>0</v>
      </c>
      <c r="AB454" s="261">
        <v>7725419</v>
      </c>
      <c r="AC454" s="261">
        <v>7274581</v>
      </c>
      <c r="AD454" s="261">
        <v>6901000</v>
      </c>
      <c r="AE454" s="261">
        <v>7725419</v>
      </c>
      <c r="AF454" s="261">
        <v>0</v>
      </c>
      <c r="AG454" s="261">
        <v>0</v>
      </c>
      <c r="AH454" s="261">
        <v>7725419</v>
      </c>
      <c r="AI454" s="261">
        <v>0</v>
      </c>
      <c r="AJ454" s="261">
        <v>7274581</v>
      </c>
      <c r="AK454" s="261">
        <v>0</v>
      </c>
      <c r="AL454" s="261">
        <v>0</v>
      </c>
      <c r="AM454" s="261">
        <v>7725419</v>
      </c>
      <c r="AN454" s="261">
        <v>7725419</v>
      </c>
      <c r="AO454" s="261">
        <v>0</v>
      </c>
      <c r="AP454" s="261">
        <v>7274581</v>
      </c>
      <c r="AQ454" s="261"/>
      <c r="AS454" s="261"/>
    </row>
    <row r="455" spans="1:45" x14ac:dyDescent="0.25">
      <c r="A455" s="7">
        <v>304010105</v>
      </c>
      <c r="B455" s="8" t="s">
        <v>682</v>
      </c>
      <c r="C455" s="9">
        <f>+C456+C457+C458</f>
        <v>2846907532</v>
      </c>
      <c r="D455" s="9">
        <f t="shared" ref="D455:R455" si="227">+D456+D457+D458</f>
        <v>0</v>
      </c>
      <c r="E455" s="9">
        <f t="shared" si="227"/>
        <v>0</v>
      </c>
      <c r="F455" s="9">
        <f t="shared" si="227"/>
        <v>600000000</v>
      </c>
      <c r="G455" s="9">
        <f t="shared" si="227"/>
        <v>3446907532</v>
      </c>
      <c r="H455" s="9">
        <f t="shared" si="227"/>
        <v>4426468</v>
      </c>
      <c r="I455" s="9">
        <f t="shared" si="227"/>
        <v>1853201304.54</v>
      </c>
      <c r="J455" s="9">
        <f t="shared" si="193"/>
        <v>1593706227.46</v>
      </c>
      <c r="K455" s="9">
        <f t="shared" si="227"/>
        <v>316200581</v>
      </c>
      <c r="L455" s="9">
        <f t="shared" si="227"/>
        <v>729251520.89999998</v>
      </c>
      <c r="M455" s="9">
        <f t="shared" si="227"/>
        <v>1123949783.6399999</v>
      </c>
      <c r="N455" s="9">
        <f t="shared" si="227"/>
        <v>6690741.8200000003</v>
      </c>
      <c r="O455" s="9">
        <f t="shared" si="227"/>
        <v>1898617080</v>
      </c>
      <c r="P455" s="9">
        <f t="shared" si="227"/>
        <v>45415775.460000038</v>
      </c>
      <c r="Q455" s="9">
        <f t="shared" si="194"/>
        <v>1548290452</v>
      </c>
      <c r="R455" s="9">
        <f t="shared" si="227"/>
        <v>729251520.89999998</v>
      </c>
      <c r="T455" s="185">
        <v>304010105</v>
      </c>
      <c r="U455" s="259" t="s">
        <v>682</v>
      </c>
      <c r="V455" s="261">
        <v>2846907532</v>
      </c>
      <c r="W455" s="261">
        <v>0</v>
      </c>
      <c r="X455" s="261">
        <v>0</v>
      </c>
      <c r="Y455" s="261">
        <v>600000000</v>
      </c>
      <c r="Z455" s="261">
        <v>3446907532</v>
      </c>
      <c r="AA455" s="261">
        <v>4426468</v>
      </c>
      <c r="AB455" s="261">
        <v>1853201304.54</v>
      </c>
      <c r="AC455" s="261">
        <v>1593706227.46</v>
      </c>
      <c r="AD455" s="261">
        <v>316200581</v>
      </c>
      <c r="AE455" s="261">
        <v>729251520.89999998</v>
      </c>
      <c r="AF455" s="261">
        <v>1123949783.6399999</v>
      </c>
      <c r="AG455" s="261">
        <v>6690741.8200000003</v>
      </c>
      <c r="AH455" s="261">
        <v>1898617080</v>
      </c>
      <c r="AI455" s="261">
        <v>45415775.460000038</v>
      </c>
      <c r="AJ455" s="261">
        <v>1548290452</v>
      </c>
      <c r="AK455" s="261">
        <v>181324271.63</v>
      </c>
      <c r="AL455" s="261">
        <v>6690741.8200000003</v>
      </c>
      <c r="AM455" s="261">
        <v>2079941351.6299999</v>
      </c>
      <c r="AN455" s="261">
        <v>1898617080</v>
      </c>
      <c r="AO455" s="261">
        <v>45415775.460000038</v>
      </c>
      <c r="AP455" s="261">
        <v>1548290452</v>
      </c>
      <c r="AQ455" s="9"/>
      <c r="AS455" s="9"/>
    </row>
    <row r="456" spans="1:45" s="1" customFormat="1" x14ac:dyDescent="0.25">
      <c r="A456" s="205">
        <v>30401010501</v>
      </c>
      <c r="B456" s="259" t="s">
        <v>683</v>
      </c>
      <c r="C456" s="261">
        <v>1544177995</v>
      </c>
      <c r="D456" s="261">
        <v>0</v>
      </c>
      <c r="E456" s="261">
        <v>0</v>
      </c>
      <c r="F456" s="261">
        <v>0</v>
      </c>
      <c r="G456" s="261">
        <f>+C456+D456-E456+F456</f>
        <v>1544177995</v>
      </c>
      <c r="H456" s="261">
        <v>0</v>
      </c>
      <c r="I456" s="261">
        <v>0</v>
      </c>
      <c r="J456" s="261">
        <f t="shared" si="193"/>
        <v>1544177995</v>
      </c>
      <c r="K456" s="261">
        <v>0</v>
      </c>
      <c r="L456" s="261">
        <v>0</v>
      </c>
      <c r="M456" s="261">
        <f t="shared" si="198"/>
        <v>0</v>
      </c>
      <c r="N456" s="261">
        <v>0</v>
      </c>
      <c r="O456" s="261">
        <v>0</v>
      </c>
      <c r="P456" s="261">
        <f t="shared" si="196"/>
        <v>0</v>
      </c>
      <c r="Q456" s="177">
        <f t="shared" si="194"/>
        <v>1544177995</v>
      </c>
      <c r="R456" s="261">
        <f t="shared" si="197"/>
        <v>0</v>
      </c>
      <c r="T456" s="185">
        <v>30401010501</v>
      </c>
      <c r="U456" s="259" t="s">
        <v>683</v>
      </c>
      <c r="V456" s="261">
        <v>1544177995</v>
      </c>
      <c r="W456" s="261">
        <v>0</v>
      </c>
      <c r="X456" s="261">
        <v>0</v>
      </c>
      <c r="Y456" s="261">
        <v>0</v>
      </c>
      <c r="Z456" s="261">
        <v>1544177995</v>
      </c>
      <c r="AA456" s="261">
        <v>0</v>
      </c>
      <c r="AB456" s="261">
        <v>0</v>
      </c>
      <c r="AC456" s="261">
        <v>1544177995</v>
      </c>
      <c r="AD456" s="261">
        <v>0</v>
      </c>
      <c r="AE456" s="261">
        <v>0</v>
      </c>
      <c r="AF456" s="261">
        <v>0</v>
      </c>
      <c r="AG456" s="261">
        <v>0</v>
      </c>
      <c r="AH456" s="261">
        <v>0</v>
      </c>
      <c r="AI456" s="261">
        <v>0</v>
      </c>
      <c r="AJ456" s="261">
        <v>1544177995</v>
      </c>
      <c r="AK456" s="261">
        <v>0</v>
      </c>
      <c r="AL456" s="261">
        <v>0</v>
      </c>
      <c r="AM456" s="261">
        <v>0</v>
      </c>
      <c r="AN456" s="261">
        <v>0</v>
      </c>
      <c r="AO456" s="261">
        <v>0</v>
      </c>
      <c r="AP456" s="261">
        <v>1544177995</v>
      </c>
      <c r="AQ456" s="261"/>
      <c r="AS456" s="261"/>
    </row>
    <row r="457" spans="1:45" x14ac:dyDescent="0.25">
      <c r="A457" s="206">
        <v>30401010502</v>
      </c>
      <c r="B457" s="259" t="s">
        <v>684</v>
      </c>
      <c r="C457" s="261">
        <v>102729537</v>
      </c>
      <c r="D457" s="261">
        <v>0</v>
      </c>
      <c r="E457" s="261">
        <v>0</v>
      </c>
      <c r="F457" s="261">
        <v>0</v>
      </c>
      <c r="G457" s="261">
        <f>+C457+D457-E457+F457</f>
        <v>102729537</v>
      </c>
      <c r="H457" s="261">
        <v>0</v>
      </c>
      <c r="I457" s="261">
        <v>102729537</v>
      </c>
      <c r="J457" s="261">
        <f t="shared" ref="J457:J520" si="228">+G457-I457</f>
        <v>0</v>
      </c>
      <c r="K457" s="261">
        <v>14421203</v>
      </c>
      <c r="L457" s="261">
        <v>88411796</v>
      </c>
      <c r="M457" s="261">
        <f t="shared" si="198"/>
        <v>14317741</v>
      </c>
      <c r="N457" s="261">
        <v>0</v>
      </c>
      <c r="O457" s="261">
        <v>102729537</v>
      </c>
      <c r="P457" s="261">
        <f t="shared" si="196"/>
        <v>0</v>
      </c>
      <c r="Q457" s="177">
        <f t="shared" ref="Q457:Q520" si="229">+G457-O457</f>
        <v>0</v>
      </c>
      <c r="R457" s="261">
        <f t="shared" si="197"/>
        <v>88411796</v>
      </c>
      <c r="T457" s="185">
        <v>30401010502</v>
      </c>
      <c r="U457" s="259" t="s">
        <v>684</v>
      </c>
      <c r="V457" s="261">
        <v>102729537</v>
      </c>
      <c r="W457" s="261">
        <v>0</v>
      </c>
      <c r="X457" s="261">
        <v>0</v>
      </c>
      <c r="Y457" s="261">
        <v>0</v>
      </c>
      <c r="Z457" s="261">
        <v>102729537</v>
      </c>
      <c r="AA457" s="261">
        <v>0</v>
      </c>
      <c r="AB457" s="261">
        <v>102729537</v>
      </c>
      <c r="AC457" s="261">
        <v>0</v>
      </c>
      <c r="AD457" s="261">
        <v>14421203</v>
      </c>
      <c r="AE457" s="261">
        <v>88411796</v>
      </c>
      <c r="AF457" s="261">
        <v>14317741</v>
      </c>
      <c r="AG457" s="261">
        <v>0</v>
      </c>
      <c r="AH457" s="261">
        <v>102729537</v>
      </c>
      <c r="AI457" s="261">
        <v>0</v>
      </c>
      <c r="AJ457" s="261">
        <v>0</v>
      </c>
      <c r="AK457" s="261">
        <v>3256.81</v>
      </c>
      <c r="AL457" s="261">
        <v>0</v>
      </c>
      <c r="AM457" s="261">
        <v>102732793.81</v>
      </c>
      <c r="AN457" s="261">
        <v>102729537</v>
      </c>
      <c r="AO457" s="261">
        <v>0</v>
      </c>
      <c r="AP457" s="261">
        <v>0</v>
      </c>
      <c r="AQ457" s="261"/>
      <c r="AS457" s="261"/>
    </row>
    <row r="458" spans="1:45" x14ac:dyDescent="0.25">
      <c r="A458" s="204">
        <v>30401010503</v>
      </c>
      <c r="B458" s="259" t="s">
        <v>685</v>
      </c>
      <c r="C458" s="261">
        <v>1200000000</v>
      </c>
      <c r="D458" s="261">
        <v>0</v>
      </c>
      <c r="E458" s="261">
        <v>0</v>
      </c>
      <c r="F458" s="261">
        <v>600000000</v>
      </c>
      <c r="G458" s="261">
        <f>+C458+D458-E458+F458</f>
        <v>1800000000</v>
      </c>
      <c r="H458" s="261">
        <v>4426468</v>
      </c>
      <c r="I458" s="261">
        <v>1750471767.54</v>
      </c>
      <c r="J458" s="261">
        <f t="shared" si="228"/>
        <v>49528232.460000038</v>
      </c>
      <c r="K458" s="261">
        <v>301779378</v>
      </c>
      <c r="L458" s="261">
        <v>640839724.89999998</v>
      </c>
      <c r="M458" s="261">
        <f t="shared" si="198"/>
        <v>1109632042.6399999</v>
      </c>
      <c r="N458" s="261">
        <v>6690741.8200000003</v>
      </c>
      <c r="O458" s="261">
        <v>1795887543</v>
      </c>
      <c r="P458" s="261">
        <f t="shared" si="196"/>
        <v>45415775.460000038</v>
      </c>
      <c r="Q458" s="177">
        <f t="shared" si="229"/>
        <v>4112457</v>
      </c>
      <c r="R458" s="261">
        <f t="shared" si="197"/>
        <v>640839724.89999998</v>
      </c>
      <c r="T458" s="185">
        <v>30401010503</v>
      </c>
      <c r="U458" s="259" t="s">
        <v>685</v>
      </c>
      <c r="V458" s="261">
        <v>1200000000</v>
      </c>
      <c r="W458" s="261">
        <v>0</v>
      </c>
      <c r="X458" s="261">
        <v>0</v>
      </c>
      <c r="Y458" s="261">
        <v>600000000</v>
      </c>
      <c r="Z458" s="261">
        <v>1800000000</v>
      </c>
      <c r="AA458" s="261">
        <v>4426468</v>
      </c>
      <c r="AB458" s="261">
        <v>1750471767.54</v>
      </c>
      <c r="AC458" s="261">
        <v>49528232.460000038</v>
      </c>
      <c r="AD458" s="261">
        <v>301779378</v>
      </c>
      <c r="AE458" s="261">
        <v>640839724.89999998</v>
      </c>
      <c r="AF458" s="261">
        <v>1109632042.6399999</v>
      </c>
      <c r="AG458" s="261">
        <v>6690741.8200000003</v>
      </c>
      <c r="AH458" s="261">
        <v>1795887543</v>
      </c>
      <c r="AI458" s="261">
        <v>45415775.460000038</v>
      </c>
      <c r="AJ458" s="261">
        <v>4112457</v>
      </c>
      <c r="AK458" s="261">
        <v>181321014.81999999</v>
      </c>
      <c r="AL458" s="261">
        <v>6690741.8200000003</v>
      </c>
      <c r="AM458" s="261">
        <v>1977208557.8199999</v>
      </c>
      <c r="AN458" s="261">
        <v>1795887543</v>
      </c>
      <c r="AO458" s="261">
        <v>45415775.460000038</v>
      </c>
      <c r="AP458" s="261">
        <v>4112457</v>
      </c>
      <c r="AQ458" s="261"/>
      <c r="AS458" s="261"/>
    </row>
    <row r="459" spans="1:45" s="1" customFormat="1" x14ac:dyDescent="0.25">
      <c r="A459" s="7">
        <v>304010106</v>
      </c>
      <c r="B459" s="8" t="s">
        <v>686</v>
      </c>
      <c r="C459" s="9">
        <f>+C460+C461</f>
        <v>540000000</v>
      </c>
      <c r="D459" s="9">
        <f t="shared" ref="D459:R459" si="230">+D460+D461</f>
        <v>0</v>
      </c>
      <c r="E459" s="9">
        <f t="shared" si="230"/>
        <v>0</v>
      </c>
      <c r="F459" s="9">
        <f t="shared" si="230"/>
        <v>0</v>
      </c>
      <c r="G459" s="9">
        <f t="shared" si="230"/>
        <v>540000000</v>
      </c>
      <c r="H459" s="9">
        <f t="shared" si="230"/>
        <v>12611620</v>
      </c>
      <c r="I459" s="9">
        <f t="shared" si="230"/>
        <v>215175370</v>
      </c>
      <c r="J459" s="9">
        <f t="shared" si="228"/>
        <v>324824630</v>
      </c>
      <c r="K459" s="9">
        <f t="shared" si="230"/>
        <v>85850000</v>
      </c>
      <c r="L459" s="9">
        <f t="shared" si="230"/>
        <v>189213749.99000001</v>
      </c>
      <c r="M459" s="9">
        <f t="shared" si="230"/>
        <v>25961620.00999999</v>
      </c>
      <c r="N459" s="9">
        <f t="shared" si="230"/>
        <v>182639272.94</v>
      </c>
      <c r="O459" s="9">
        <f t="shared" si="230"/>
        <v>431367431.94</v>
      </c>
      <c r="P459" s="9">
        <f t="shared" si="230"/>
        <v>216192061.94</v>
      </c>
      <c r="Q459" s="9">
        <f t="shared" si="229"/>
        <v>108632568.06</v>
      </c>
      <c r="R459" s="9">
        <f t="shared" si="230"/>
        <v>189213749.99000001</v>
      </c>
      <c r="S459" s="257"/>
      <c r="T459" s="185">
        <v>304010106</v>
      </c>
      <c r="U459" s="259" t="s">
        <v>686</v>
      </c>
      <c r="V459" s="261">
        <v>540000000</v>
      </c>
      <c r="W459" s="261">
        <v>0</v>
      </c>
      <c r="X459" s="261">
        <v>0</v>
      </c>
      <c r="Y459" s="261">
        <v>0</v>
      </c>
      <c r="Z459" s="261">
        <v>540000000</v>
      </c>
      <c r="AA459" s="261">
        <v>12611620</v>
      </c>
      <c r="AB459" s="261">
        <v>215175370</v>
      </c>
      <c r="AC459" s="261">
        <v>324824630</v>
      </c>
      <c r="AD459" s="261">
        <v>85850000</v>
      </c>
      <c r="AE459" s="261">
        <v>189213749.99000001</v>
      </c>
      <c r="AF459" s="261">
        <v>25961620.00999999</v>
      </c>
      <c r="AG459" s="261">
        <v>182639272.94</v>
      </c>
      <c r="AH459" s="261">
        <v>431367431.94</v>
      </c>
      <c r="AI459" s="261">
        <v>216192061.94</v>
      </c>
      <c r="AJ459" s="261">
        <v>108632568.06</v>
      </c>
      <c r="AK459" s="261">
        <v>8245129</v>
      </c>
      <c r="AL459" s="261">
        <v>148221988.94</v>
      </c>
      <c r="AM459" s="261">
        <v>405195276.94</v>
      </c>
      <c r="AN459" s="261">
        <v>396950147.94</v>
      </c>
      <c r="AO459" s="261">
        <v>181774777.94</v>
      </c>
      <c r="AP459" s="261">
        <v>143049852.06</v>
      </c>
      <c r="AQ459" s="9"/>
      <c r="AS459" s="9"/>
    </row>
    <row r="460" spans="1:45" x14ac:dyDescent="0.25">
      <c r="A460" s="206">
        <v>30401010602</v>
      </c>
      <c r="B460" s="259" t="s">
        <v>687</v>
      </c>
      <c r="C460" s="262">
        <v>340000000</v>
      </c>
      <c r="D460" s="261">
        <v>0</v>
      </c>
      <c r="E460" s="261">
        <v>0</v>
      </c>
      <c r="F460" s="261">
        <v>0</v>
      </c>
      <c r="G460" s="261">
        <f>+C460+D460-E460+F460</f>
        <v>340000000</v>
      </c>
      <c r="H460" s="261">
        <v>12611620</v>
      </c>
      <c r="I460" s="261">
        <v>52311620</v>
      </c>
      <c r="J460" s="261">
        <f t="shared" si="228"/>
        <v>287688380</v>
      </c>
      <c r="K460" s="261">
        <v>39700000</v>
      </c>
      <c r="L460" s="261">
        <v>39700000</v>
      </c>
      <c r="M460" s="261">
        <f t="shared" si="198"/>
        <v>12611620</v>
      </c>
      <c r="N460" s="261">
        <v>179055811.94</v>
      </c>
      <c r="O460" s="261">
        <v>231367431.94</v>
      </c>
      <c r="P460" s="261">
        <f t="shared" ref="P460:P617" si="231">+O460-I460</f>
        <v>179055811.94</v>
      </c>
      <c r="Q460" s="177">
        <f t="shared" si="229"/>
        <v>108632568.06</v>
      </c>
      <c r="R460" s="261">
        <f t="shared" ref="R460:R617" si="232">+L460</f>
        <v>39700000</v>
      </c>
      <c r="S460" s="1"/>
      <c r="T460" s="185">
        <v>30401010602</v>
      </c>
      <c r="U460" s="259" t="s">
        <v>687</v>
      </c>
      <c r="V460" s="261">
        <v>340000000</v>
      </c>
      <c r="W460" s="261">
        <v>0</v>
      </c>
      <c r="X460" s="261">
        <v>0</v>
      </c>
      <c r="Y460" s="261">
        <v>0</v>
      </c>
      <c r="Z460" s="261">
        <v>340000000</v>
      </c>
      <c r="AA460" s="261">
        <v>12611620</v>
      </c>
      <c r="AB460" s="261">
        <v>52311620</v>
      </c>
      <c r="AC460" s="261">
        <v>287688380</v>
      </c>
      <c r="AD460" s="261">
        <v>39700000</v>
      </c>
      <c r="AE460" s="261">
        <v>39700000</v>
      </c>
      <c r="AF460" s="261">
        <v>12611620</v>
      </c>
      <c r="AG460" s="261">
        <v>179055811.94</v>
      </c>
      <c r="AH460" s="261">
        <v>231367431.94</v>
      </c>
      <c r="AI460" s="261">
        <v>179055811.94</v>
      </c>
      <c r="AJ460" s="261">
        <v>108632568.06</v>
      </c>
      <c r="AK460" s="261">
        <v>4661668</v>
      </c>
      <c r="AL460" s="261">
        <v>144638527.94</v>
      </c>
      <c r="AM460" s="261">
        <v>201611815.94</v>
      </c>
      <c r="AN460" s="261">
        <v>196950147.94</v>
      </c>
      <c r="AO460" s="261">
        <v>144638527.94</v>
      </c>
      <c r="AP460" s="261">
        <v>143049852.06</v>
      </c>
      <c r="AQ460" s="261"/>
      <c r="AS460" s="261"/>
    </row>
    <row r="461" spans="1:45" x14ac:dyDescent="0.25">
      <c r="A461" s="204">
        <v>30401010603</v>
      </c>
      <c r="B461" s="259" t="s">
        <v>688</v>
      </c>
      <c r="C461" s="262">
        <v>200000000</v>
      </c>
      <c r="D461" s="261">
        <v>0</v>
      </c>
      <c r="E461" s="261">
        <v>0</v>
      </c>
      <c r="F461" s="261">
        <v>0</v>
      </c>
      <c r="G461" s="261">
        <f>+C461+D461-E461+F461</f>
        <v>200000000</v>
      </c>
      <c r="H461" s="261">
        <v>0</v>
      </c>
      <c r="I461" s="261">
        <v>162863750</v>
      </c>
      <c r="J461" s="261">
        <f t="shared" si="228"/>
        <v>37136250</v>
      </c>
      <c r="K461" s="261">
        <v>46150000</v>
      </c>
      <c r="L461" s="261">
        <v>149513749.99000001</v>
      </c>
      <c r="M461" s="261">
        <f t="shared" si="198"/>
        <v>13350000.00999999</v>
      </c>
      <c r="N461" s="261">
        <v>3583461</v>
      </c>
      <c r="O461" s="261">
        <v>200000000</v>
      </c>
      <c r="P461" s="261">
        <f t="shared" si="231"/>
        <v>37136250</v>
      </c>
      <c r="Q461" s="177">
        <f t="shared" si="229"/>
        <v>0</v>
      </c>
      <c r="R461" s="261">
        <f t="shared" si="232"/>
        <v>149513749.99000001</v>
      </c>
      <c r="T461" s="185">
        <v>30401010603</v>
      </c>
      <c r="U461" s="259" t="s">
        <v>688</v>
      </c>
      <c r="V461" s="261">
        <v>200000000</v>
      </c>
      <c r="W461" s="261">
        <v>0</v>
      </c>
      <c r="X461" s="261">
        <v>0</v>
      </c>
      <c r="Y461" s="261">
        <v>0</v>
      </c>
      <c r="Z461" s="261">
        <v>200000000</v>
      </c>
      <c r="AA461" s="261">
        <v>0</v>
      </c>
      <c r="AB461" s="261">
        <v>162863750</v>
      </c>
      <c r="AC461" s="261">
        <v>37136250</v>
      </c>
      <c r="AD461" s="261">
        <v>46150000</v>
      </c>
      <c r="AE461" s="261">
        <v>149513749.99000001</v>
      </c>
      <c r="AF461" s="261">
        <v>13350000.00999999</v>
      </c>
      <c r="AG461" s="261">
        <v>3583461</v>
      </c>
      <c r="AH461" s="261">
        <v>200000000</v>
      </c>
      <c r="AI461" s="261">
        <v>37136250</v>
      </c>
      <c r="AJ461" s="261">
        <v>0</v>
      </c>
      <c r="AK461" s="261">
        <v>3583461</v>
      </c>
      <c r="AL461" s="261">
        <v>3583461</v>
      </c>
      <c r="AM461" s="261">
        <v>203583461</v>
      </c>
      <c r="AN461" s="261">
        <v>200000000</v>
      </c>
      <c r="AO461" s="261">
        <v>37136250</v>
      </c>
      <c r="AP461" s="261">
        <v>0</v>
      </c>
      <c r="AQ461" s="261"/>
      <c r="AS461" s="261"/>
    </row>
    <row r="462" spans="1:45" s="1" customFormat="1" x14ac:dyDescent="0.25">
      <c r="A462" s="7">
        <v>304010107</v>
      </c>
      <c r="B462" s="8" t="s">
        <v>689</v>
      </c>
      <c r="C462" s="9">
        <f>+C463+C464</f>
        <v>800000000</v>
      </c>
      <c r="D462" s="9">
        <f t="shared" ref="D462:R462" si="233">+D463+D464</f>
        <v>0</v>
      </c>
      <c r="E462" s="9">
        <f t="shared" si="233"/>
        <v>204467681</v>
      </c>
      <c r="F462" s="9">
        <f t="shared" si="233"/>
        <v>1000000000</v>
      </c>
      <c r="G462" s="9">
        <f t="shared" si="233"/>
        <v>1595532319</v>
      </c>
      <c r="H462" s="9">
        <f t="shared" si="233"/>
        <v>126776329</v>
      </c>
      <c r="I462" s="9">
        <f t="shared" si="233"/>
        <v>257054040.97999999</v>
      </c>
      <c r="J462" s="9">
        <f t="shared" si="228"/>
        <v>1338478278.02</v>
      </c>
      <c r="K462" s="9">
        <f t="shared" si="233"/>
        <v>103941607</v>
      </c>
      <c r="L462" s="9">
        <f t="shared" si="233"/>
        <v>153535082.97999999</v>
      </c>
      <c r="M462" s="9">
        <f t="shared" si="233"/>
        <v>103518958</v>
      </c>
      <c r="N462" s="9">
        <f t="shared" si="233"/>
        <v>170047469</v>
      </c>
      <c r="O462" s="9">
        <f t="shared" si="233"/>
        <v>1053599123.98</v>
      </c>
      <c r="P462" s="9">
        <f t="shared" si="233"/>
        <v>796545083</v>
      </c>
      <c r="Q462" s="9">
        <f t="shared" si="229"/>
        <v>541933195.01999998</v>
      </c>
      <c r="R462" s="9">
        <f t="shared" si="233"/>
        <v>153535082.97999999</v>
      </c>
      <c r="S462" s="257"/>
      <c r="T462" s="185">
        <v>304010107</v>
      </c>
      <c r="U462" s="259" t="s">
        <v>689</v>
      </c>
      <c r="V462" s="261">
        <v>800000000</v>
      </c>
      <c r="W462" s="261">
        <v>0</v>
      </c>
      <c r="X462" s="261">
        <v>204467681</v>
      </c>
      <c r="Y462" s="261">
        <v>1000000000</v>
      </c>
      <c r="Z462" s="261">
        <v>1595532319</v>
      </c>
      <c r="AA462" s="261">
        <v>126776329</v>
      </c>
      <c r="AB462" s="261">
        <v>257054040.97999999</v>
      </c>
      <c r="AC462" s="261">
        <v>1338478278.02</v>
      </c>
      <c r="AD462" s="261">
        <v>103941607</v>
      </c>
      <c r="AE462" s="261">
        <v>153535082.97999999</v>
      </c>
      <c r="AF462" s="261">
        <v>103518958</v>
      </c>
      <c r="AG462" s="261">
        <v>170047469</v>
      </c>
      <c r="AH462" s="261">
        <v>1053599123.98</v>
      </c>
      <c r="AI462" s="261">
        <v>796545083</v>
      </c>
      <c r="AJ462" s="261">
        <v>541933195.01999998</v>
      </c>
      <c r="AK462" s="261">
        <v>82272583</v>
      </c>
      <c r="AL462" s="261">
        <v>170047469</v>
      </c>
      <c r="AM462" s="261">
        <v>1135871706.98</v>
      </c>
      <c r="AN462" s="261">
        <v>1053599123.98</v>
      </c>
      <c r="AO462" s="261">
        <v>904000533</v>
      </c>
      <c r="AP462" s="261">
        <v>541933195.01999998</v>
      </c>
      <c r="AQ462" s="9"/>
      <c r="AS462" s="9"/>
    </row>
    <row r="463" spans="1:45" s="1" customFormat="1" x14ac:dyDescent="0.25">
      <c r="A463" s="205">
        <v>30401010701</v>
      </c>
      <c r="B463" s="259" t="s">
        <v>690</v>
      </c>
      <c r="C463" s="262">
        <v>300000000</v>
      </c>
      <c r="D463" s="261">
        <v>0</v>
      </c>
      <c r="E463" s="261">
        <v>0</v>
      </c>
      <c r="F463" s="261">
        <v>0</v>
      </c>
      <c r="G463" s="261">
        <f>+C463+D463-E463+F463</f>
        <v>300000000</v>
      </c>
      <c r="H463" s="261">
        <v>0</v>
      </c>
      <c r="I463" s="261">
        <v>0</v>
      </c>
      <c r="J463" s="261">
        <f t="shared" si="228"/>
        <v>300000000</v>
      </c>
      <c r="K463" s="261">
        <v>0</v>
      </c>
      <c r="L463" s="261">
        <v>0</v>
      </c>
      <c r="M463" s="261">
        <f t="shared" ref="M463:M617" si="234">+I463-L463</f>
        <v>0</v>
      </c>
      <c r="N463" s="261">
        <v>0</v>
      </c>
      <c r="O463" s="261">
        <v>0</v>
      </c>
      <c r="P463" s="261">
        <f t="shared" si="231"/>
        <v>0</v>
      </c>
      <c r="Q463" s="177">
        <f t="shared" si="229"/>
        <v>300000000</v>
      </c>
      <c r="R463" s="261">
        <f t="shared" si="232"/>
        <v>0</v>
      </c>
      <c r="T463" s="185">
        <v>30401010701</v>
      </c>
      <c r="U463" s="259" t="s">
        <v>690</v>
      </c>
      <c r="V463" s="261">
        <v>300000000</v>
      </c>
      <c r="W463" s="261">
        <v>0</v>
      </c>
      <c r="X463" s="261">
        <v>0</v>
      </c>
      <c r="Y463" s="261">
        <v>0</v>
      </c>
      <c r="Z463" s="261">
        <v>300000000</v>
      </c>
      <c r="AA463" s="261">
        <v>0</v>
      </c>
      <c r="AB463" s="261">
        <v>0</v>
      </c>
      <c r="AC463" s="261">
        <v>300000000</v>
      </c>
      <c r="AD463" s="261">
        <v>0</v>
      </c>
      <c r="AE463" s="261">
        <v>0</v>
      </c>
      <c r="AF463" s="261">
        <v>0</v>
      </c>
      <c r="AG463" s="261">
        <v>0</v>
      </c>
      <c r="AH463" s="261">
        <v>0</v>
      </c>
      <c r="AI463" s="261">
        <v>0</v>
      </c>
      <c r="AJ463" s="261">
        <v>300000000</v>
      </c>
      <c r="AK463" s="261">
        <v>0</v>
      </c>
      <c r="AL463" s="261">
        <v>0</v>
      </c>
      <c r="AM463" s="261">
        <v>0</v>
      </c>
      <c r="AN463" s="261">
        <v>0</v>
      </c>
      <c r="AO463" s="261">
        <v>0</v>
      </c>
      <c r="AP463" s="261">
        <v>300000000</v>
      </c>
      <c r="AQ463" s="261"/>
      <c r="AS463" s="261"/>
    </row>
    <row r="464" spans="1:45" s="1" customFormat="1" x14ac:dyDescent="0.25">
      <c r="A464" s="204">
        <v>30401010703</v>
      </c>
      <c r="B464" s="259" t="s">
        <v>691</v>
      </c>
      <c r="C464" s="262">
        <v>500000000</v>
      </c>
      <c r="D464" s="261">
        <v>0</v>
      </c>
      <c r="E464" s="261">
        <v>204467681</v>
      </c>
      <c r="F464" s="261">
        <v>1000000000</v>
      </c>
      <c r="G464" s="261">
        <f>+C464+D464-E464+F464</f>
        <v>1295532319</v>
      </c>
      <c r="H464" s="261">
        <v>126776329</v>
      </c>
      <c r="I464" s="261">
        <v>257054040.97999999</v>
      </c>
      <c r="J464" s="261">
        <f t="shared" si="228"/>
        <v>1038478278.02</v>
      </c>
      <c r="K464" s="261">
        <v>103941607</v>
      </c>
      <c r="L464" s="261">
        <v>153535082.97999999</v>
      </c>
      <c r="M464" s="261">
        <f t="shared" si="234"/>
        <v>103518958</v>
      </c>
      <c r="N464" s="261">
        <v>170047469</v>
      </c>
      <c r="O464" s="261">
        <v>1053599123.98</v>
      </c>
      <c r="P464" s="261">
        <f t="shared" si="231"/>
        <v>796545083</v>
      </c>
      <c r="Q464" s="177">
        <f t="shared" si="229"/>
        <v>241933195.01999998</v>
      </c>
      <c r="R464" s="261">
        <f t="shared" si="232"/>
        <v>153535082.97999999</v>
      </c>
      <c r="S464" s="257"/>
      <c r="T464" s="185">
        <v>30401010703</v>
      </c>
      <c r="U464" s="259" t="s">
        <v>691</v>
      </c>
      <c r="V464" s="261">
        <v>500000000</v>
      </c>
      <c r="W464" s="261">
        <v>0</v>
      </c>
      <c r="X464" s="261">
        <v>204467681</v>
      </c>
      <c r="Y464" s="261">
        <v>1000000000</v>
      </c>
      <c r="Z464" s="261">
        <v>1295532319</v>
      </c>
      <c r="AA464" s="261">
        <v>126776329</v>
      </c>
      <c r="AB464" s="261">
        <v>257054040.97999999</v>
      </c>
      <c r="AC464" s="261">
        <v>1038478278.02</v>
      </c>
      <c r="AD464" s="261">
        <v>103941607</v>
      </c>
      <c r="AE464" s="261">
        <v>153535082.97999999</v>
      </c>
      <c r="AF464" s="261">
        <v>103518958</v>
      </c>
      <c r="AG464" s="261">
        <v>170047469</v>
      </c>
      <c r="AH464" s="261">
        <v>1053599123.98</v>
      </c>
      <c r="AI464" s="261">
        <v>796545083</v>
      </c>
      <c r="AJ464" s="261">
        <v>241933195.01999998</v>
      </c>
      <c r="AK464" s="261">
        <v>82272583</v>
      </c>
      <c r="AL464" s="261">
        <v>170047469</v>
      </c>
      <c r="AM464" s="261">
        <v>1135871706.98</v>
      </c>
      <c r="AN464" s="261">
        <v>1053599123.98</v>
      </c>
      <c r="AO464" s="261">
        <v>904000533</v>
      </c>
      <c r="AP464" s="261">
        <v>241933195.01999998</v>
      </c>
      <c r="AQ464" s="261"/>
      <c r="AS464" s="261"/>
    </row>
    <row r="465" spans="1:45" x14ac:dyDescent="0.25">
      <c r="A465" s="4">
        <v>30402</v>
      </c>
      <c r="B465" s="5" t="s">
        <v>692</v>
      </c>
      <c r="C465" s="6">
        <f>+C466</f>
        <v>515000000</v>
      </c>
      <c r="D465" s="6">
        <f t="shared" ref="D465:R467" si="235">+D466</f>
        <v>0</v>
      </c>
      <c r="E465" s="6">
        <f t="shared" si="235"/>
        <v>0</v>
      </c>
      <c r="F465" s="6">
        <f t="shared" si="235"/>
        <v>0</v>
      </c>
      <c r="G465" s="6">
        <f t="shared" si="235"/>
        <v>515000000</v>
      </c>
      <c r="H465" s="6">
        <f t="shared" si="235"/>
        <v>0</v>
      </c>
      <c r="I465" s="6">
        <f t="shared" si="235"/>
        <v>107396219.01000001</v>
      </c>
      <c r="J465" s="6">
        <f t="shared" si="228"/>
        <v>407603780.99000001</v>
      </c>
      <c r="K465" s="6">
        <f t="shared" si="235"/>
        <v>0</v>
      </c>
      <c r="L465" s="6">
        <f t="shared" si="235"/>
        <v>0</v>
      </c>
      <c r="M465" s="6">
        <f t="shared" si="235"/>
        <v>107396219.01000001</v>
      </c>
      <c r="N465" s="6">
        <f t="shared" si="235"/>
        <v>0</v>
      </c>
      <c r="O465" s="6">
        <f t="shared" si="235"/>
        <v>107396219.01000001</v>
      </c>
      <c r="P465" s="6">
        <f t="shared" si="235"/>
        <v>0</v>
      </c>
      <c r="Q465" s="6">
        <f t="shared" si="229"/>
        <v>407603780.99000001</v>
      </c>
      <c r="R465" s="6">
        <f t="shared" si="235"/>
        <v>0</v>
      </c>
      <c r="T465" s="185">
        <v>30402</v>
      </c>
      <c r="U465" s="259" t="s">
        <v>692</v>
      </c>
      <c r="V465" s="261">
        <v>515000000</v>
      </c>
      <c r="W465" s="261">
        <v>0</v>
      </c>
      <c r="X465" s="261">
        <v>0</v>
      </c>
      <c r="Y465" s="261">
        <v>0</v>
      </c>
      <c r="Z465" s="261">
        <v>515000000</v>
      </c>
      <c r="AA465" s="261">
        <v>0</v>
      </c>
      <c r="AB465" s="261">
        <v>107396219.01000001</v>
      </c>
      <c r="AC465" s="261">
        <v>407603780.99000001</v>
      </c>
      <c r="AD465" s="261">
        <v>0</v>
      </c>
      <c r="AE465" s="261">
        <v>0</v>
      </c>
      <c r="AF465" s="261">
        <v>107396219.01000001</v>
      </c>
      <c r="AG465" s="261">
        <v>0</v>
      </c>
      <c r="AH465" s="261">
        <v>107396219.01000001</v>
      </c>
      <c r="AI465" s="261">
        <v>0</v>
      </c>
      <c r="AJ465" s="261">
        <v>407603780.99000001</v>
      </c>
      <c r="AK465" s="261">
        <v>0</v>
      </c>
      <c r="AL465" s="261">
        <v>0</v>
      </c>
      <c r="AM465" s="261">
        <v>107396219.01000001</v>
      </c>
      <c r="AN465" s="261">
        <v>107396219.01000001</v>
      </c>
      <c r="AO465" s="261">
        <v>0</v>
      </c>
      <c r="AP465" s="261">
        <v>407603780.99000001</v>
      </c>
      <c r="AQ465" s="6"/>
      <c r="AS465" s="6"/>
    </row>
    <row r="466" spans="1:45" s="1" customFormat="1" x14ac:dyDescent="0.25">
      <c r="A466" s="7">
        <v>3040201</v>
      </c>
      <c r="B466" s="8" t="s">
        <v>693</v>
      </c>
      <c r="C466" s="9">
        <f>+C467</f>
        <v>515000000</v>
      </c>
      <c r="D466" s="9">
        <f t="shared" si="235"/>
        <v>0</v>
      </c>
      <c r="E466" s="9">
        <f t="shared" si="235"/>
        <v>0</v>
      </c>
      <c r="F466" s="9">
        <f t="shared" si="235"/>
        <v>0</v>
      </c>
      <c r="G466" s="9">
        <f t="shared" si="235"/>
        <v>515000000</v>
      </c>
      <c r="H466" s="9">
        <f t="shared" si="235"/>
        <v>0</v>
      </c>
      <c r="I466" s="9">
        <f t="shared" si="235"/>
        <v>107396219.01000001</v>
      </c>
      <c r="J466" s="9">
        <f t="shared" si="228"/>
        <v>407603780.99000001</v>
      </c>
      <c r="K466" s="9">
        <f t="shared" si="235"/>
        <v>0</v>
      </c>
      <c r="L466" s="9">
        <f t="shared" si="235"/>
        <v>0</v>
      </c>
      <c r="M466" s="9">
        <f t="shared" si="235"/>
        <v>107396219.01000001</v>
      </c>
      <c r="N466" s="9">
        <f t="shared" si="235"/>
        <v>0</v>
      </c>
      <c r="O466" s="9">
        <f t="shared" si="235"/>
        <v>107396219.01000001</v>
      </c>
      <c r="P466" s="9">
        <f t="shared" si="235"/>
        <v>0</v>
      </c>
      <c r="Q466" s="9">
        <f t="shared" si="229"/>
        <v>407603780.99000001</v>
      </c>
      <c r="R466" s="9">
        <f t="shared" si="235"/>
        <v>0</v>
      </c>
      <c r="T466" s="185">
        <v>3040201</v>
      </c>
      <c r="U466" s="259" t="s">
        <v>693</v>
      </c>
      <c r="V466" s="261">
        <v>515000000</v>
      </c>
      <c r="W466" s="261">
        <v>0</v>
      </c>
      <c r="X466" s="261">
        <v>0</v>
      </c>
      <c r="Y466" s="261">
        <v>0</v>
      </c>
      <c r="Z466" s="261">
        <v>515000000</v>
      </c>
      <c r="AA466" s="261">
        <v>0</v>
      </c>
      <c r="AB466" s="261">
        <v>107396219.01000001</v>
      </c>
      <c r="AC466" s="261">
        <v>407603780.99000001</v>
      </c>
      <c r="AD466" s="261">
        <v>0</v>
      </c>
      <c r="AE466" s="261">
        <v>0</v>
      </c>
      <c r="AF466" s="261">
        <v>107396219.01000001</v>
      </c>
      <c r="AG466" s="261">
        <v>0</v>
      </c>
      <c r="AH466" s="261">
        <v>107396219.01000001</v>
      </c>
      <c r="AI466" s="261">
        <v>0</v>
      </c>
      <c r="AJ466" s="261">
        <v>407603780.99000001</v>
      </c>
      <c r="AK466" s="261">
        <v>0</v>
      </c>
      <c r="AL466" s="261">
        <v>0</v>
      </c>
      <c r="AM466" s="261">
        <v>107396219.01000001</v>
      </c>
      <c r="AN466" s="261">
        <v>107396219.01000001</v>
      </c>
      <c r="AO466" s="261">
        <v>0</v>
      </c>
      <c r="AP466" s="261">
        <v>407603780.99000001</v>
      </c>
      <c r="AQ466" s="9"/>
      <c r="AS466" s="9"/>
    </row>
    <row r="467" spans="1:45" s="1" customFormat="1" x14ac:dyDescent="0.25">
      <c r="A467" s="7">
        <v>304020101</v>
      </c>
      <c r="B467" s="8" t="s">
        <v>694</v>
      </c>
      <c r="C467" s="9">
        <f>+C468</f>
        <v>515000000</v>
      </c>
      <c r="D467" s="9">
        <f t="shared" si="235"/>
        <v>0</v>
      </c>
      <c r="E467" s="9">
        <f t="shared" si="235"/>
        <v>0</v>
      </c>
      <c r="F467" s="9">
        <f t="shared" si="235"/>
        <v>0</v>
      </c>
      <c r="G467" s="9">
        <f t="shared" si="235"/>
        <v>515000000</v>
      </c>
      <c r="H467" s="9">
        <f t="shared" si="235"/>
        <v>0</v>
      </c>
      <c r="I467" s="9">
        <f t="shared" si="235"/>
        <v>107396219.01000001</v>
      </c>
      <c r="J467" s="9">
        <f t="shared" si="228"/>
        <v>407603780.99000001</v>
      </c>
      <c r="K467" s="9">
        <f t="shared" si="235"/>
        <v>0</v>
      </c>
      <c r="L467" s="9">
        <f t="shared" si="235"/>
        <v>0</v>
      </c>
      <c r="M467" s="9">
        <f t="shared" si="235"/>
        <v>107396219.01000001</v>
      </c>
      <c r="N467" s="9">
        <f t="shared" si="235"/>
        <v>0</v>
      </c>
      <c r="O467" s="9">
        <f t="shared" si="235"/>
        <v>107396219.01000001</v>
      </c>
      <c r="P467" s="9">
        <f t="shared" si="235"/>
        <v>0</v>
      </c>
      <c r="Q467" s="9">
        <f t="shared" si="229"/>
        <v>407603780.99000001</v>
      </c>
      <c r="R467" s="9">
        <f t="shared" si="235"/>
        <v>0</v>
      </c>
      <c r="T467" s="185">
        <v>304020101</v>
      </c>
      <c r="U467" s="259" t="s">
        <v>694</v>
      </c>
      <c r="V467" s="261">
        <v>515000000</v>
      </c>
      <c r="W467" s="261">
        <v>0</v>
      </c>
      <c r="X467" s="261">
        <v>0</v>
      </c>
      <c r="Y467" s="261">
        <v>0</v>
      </c>
      <c r="Z467" s="261">
        <v>515000000</v>
      </c>
      <c r="AA467" s="261">
        <v>0</v>
      </c>
      <c r="AB467" s="261">
        <v>107396219.01000001</v>
      </c>
      <c r="AC467" s="261">
        <v>407603780.99000001</v>
      </c>
      <c r="AD467" s="261">
        <v>0</v>
      </c>
      <c r="AE467" s="261">
        <v>0</v>
      </c>
      <c r="AF467" s="261">
        <v>107396219.01000001</v>
      </c>
      <c r="AG467" s="261">
        <v>0</v>
      </c>
      <c r="AH467" s="261">
        <v>107396219.01000001</v>
      </c>
      <c r="AI467" s="261">
        <v>0</v>
      </c>
      <c r="AJ467" s="261">
        <v>407603780.99000001</v>
      </c>
      <c r="AK467" s="261">
        <v>0</v>
      </c>
      <c r="AL467" s="261">
        <v>0</v>
      </c>
      <c r="AM467" s="261">
        <v>107396219.01000001</v>
      </c>
      <c r="AN467" s="261">
        <v>107396219.01000001</v>
      </c>
      <c r="AO467" s="261">
        <v>0</v>
      </c>
      <c r="AP467" s="261">
        <v>407603780.99000001</v>
      </c>
      <c r="AQ467" s="9"/>
      <c r="AS467" s="9"/>
    </row>
    <row r="468" spans="1:45" s="1" customFormat="1" x14ac:dyDescent="0.25">
      <c r="A468" s="185">
        <v>30402010104</v>
      </c>
      <c r="B468" s="259" t="s">
        <v>695</v>
      </c>
      <c r="C468" s="261">
        <v>515000000</v>
      </c>
      <c r="D468" s="261">
        <v>0</v>
      </c>
      <c r="E468" s="261">
        <v>0</v>
      </c>
      <c r="F468" s="261">
        <v>0</v>
      </c>
      <c r="G468" s="261">
        <f>+C468+D468-E468+F468</f>
        <v>515000000</v>
      </c>
      <c r="H468" s="261">
        <v>0</v>
      </c>
      <c r="I468" s="261">
        <v>107396219.01000001</v>
      </c>
      <c r="J468" s="261">
        <f t="shared" si="228"/>
        <v>407603780.99000001</v>
      </c>
      <c r="K468" s="261">
        <v>0</v>
      </c>
      <c r="L468" s="261">
        <v>0</v>
      </c>
      <c r="M468" s="261">
        <f t="shared" si="234"/>
        <v>107396219.01000001</v>
      </c>
      <c r="N468" s="261">
        <v>0</v>
      </c>
      <c r="O468" s="261">
        <v>107396219.01000001</v>
      </c>
      <c r="P468" s="261">
        <f t="shared" si="231"/>
        <v>0</v>
      </c>
      <c r="Q468" s="177">
        <f t="shared" si="229"/>
        <v>407603780.99000001</v>
      </c>
      <c r="R468" s="261">
        <f t="shared" si="232"/>
        <v>0</v>
      </c>
      <c r="T468" s="185">
        <v>30402010104</v>
      </c>
      <c r="U468" s="259" t="s">
        <v>695</v>
      </c>
      <c r="V468" s="261">
        <v>515000000</v>
      </c>
      <c r="W468" s="261">
        <v>0</v>
      </c>
      <c r="X468" s="261">
        <v>0</v>
      </c>
      <c r="Y468" s="261">
        <v>0</v>
      </c>
      <c r="Z468" s="261">
        <v>515000000</v>
      </c>
      <c r="AA468" s="261">
        <v>0</v>
      </c>
      <c r="AB468" s="261">
        <v>107396219.01000001</v>
      </c>
      <c r="AC468" s="261">
        <v>407603780.99000001</v>
      </c>
      <c r="AD468" s="261">
        <v>0</v>
      </c>
      <c r="AE468" s="261">
        <v>0</v>
      </c>
      <c r="AF468" s="261">
        <v>107396219.01000001</v>
      </c>
      <c r="AG468" s="261">
        <v>0</v>
      </c>
      <c r="AH468" s="261">
        <v>107396219.01000001</v>
      </c>
      <c r="AI468" s="261">
        <v>0</v>
      </c>
      <c r="AJ468" s="261">
        <v>407603780.99000001</v>
      </c>
      <c r="AK468" s="261">
        <v>0</v>
      </c>
      <c r="AL468" s="261">
        <v>0</v>
      </c>
      <c r="AM468" s="261">
        <v>107396219.01000001</v>
      </c>
      <c r="AN468" s="261">
        <v>107396219.01000001</v>
      </c>
      <c r="AO468" s="261">
        <v>0</v>
      </c>
      <c r="AP468" s="261">
        <v>407603780.99000001</v>
      </c>
      <c r="AQ468" s="261"/>
      <c r="AS468" s="261"/>
    </row>
    <row r="469" spans="1:45" s="1" customFormat="1" x14ac:dyDescent="0.25">
      <c r="A469" s="4">
        <v>305</v>
      </c>
      <c r="B469" s="5" t="s">
        <v>833</v>
      </c>
      <c r="C469" s="6">
        <f>+C470+C553+C554+C555+C556+C557+C558+C559+C560+C561+C562+C563+C564+C565+C566+C567+C568+C569+C570+C571+C572+C573+C574+C575+C576+C577+C578+C579</f>
        <v>0</v>
      </c>
      <c r="D469" s="6">
        <f t="shared" ref="D469:R469" si="236">+D470+D553+D554+D555+D556+D557+D558+D559+D560+D561+D562+D563+D564+D565+D566+D567+D568+D569+D570+D571+D572+D573+D574+D575+D576+D577+D578+D579</f>
        <v>0</v>
      </c>
      <c r="E469" s="6">
        <f t="shared" si="236"/>
        <v>0</v>
      </c>
      <c r="F469" s="6">
        <f t="shared" si="236"/>
        <v>17055410245.630001</v>
      </c>
      <c r="G469" s="6">
        <f t="shared" si="236"/>
        <v>17055410245.630001</v>
      </c>
      <c r="H469" s="6">
        <f t="shared" si="236"/>
        <v>918355256.99000001</v>
      </c>
      <c r="I469" s="6">
        <f t="shared" si="236"/>
        <v>1741122018.29</v>
      </c>
      <c r="J469" s="6">
        <f t="shared" si="228"/>
        <v>15314288227.34</v>
      </c>
      <c r="K469" s="6">
        <f t="shared" si="236"/>
        <v>168211436.74000001</v>
      </c>
      <c r="L469" s="6">
        <f t="shared" si="236"/>
        <v>599644965.37</v>
      </c>
      <c r="M469" s="6">
        <f t="shared" si="236"/>
        <v>0</v>
      </c>
      <c r="N469" s="6">
        <f t="shared" si="236"/>
        <v>2115805940.5200002</v>
      </c>
      <c r="O469" s="6">
        <f t="shared" si="236"/>
        <v>5334746484.8199997</v>
      </c>
      <c r="P469" s="6">
        <f t="shared" si="236"/>
        <v>1051854084</v>
      </c>
      <c r="Q469" s="6">
        <f t="shared" si="229"/>
        <v>11720663760.810001</v>
      </c>
      <c r="R469" s="6">
        <f t="shared" si="236"/>
        <v>130251533.63</v>
      </c>
      <c r="S469" s="257"/>
      <c r="T469" s="185">
        <v>305</v>
      </c>
      <c r="U469" s="259" t="s">
        <v>833</v>
      </c>
      <c r="V469" s="261">
        <v>0</v>
      </c>
      <c r="W469" s="261">
        <v>0</v>
      </c>
      <c r="X469" s="261">
        <v>0</v>
      </c>
      <c r="Y469" s="261">
        <v>17055410245.630001</v>
      </c>
      <c r="Z469" s="261">
        <v>17055410245.630001</v>
      </c>
      <c r="AA469" s="261">
        <v>918355256.99000001</v>
      </c>
      <c r="AB469" s="261">
        <v>1741122018.29</v>
      </c>
      <c r="AC469" s="261">
        <v>15314288227.34</v>
      </c>
      <c r="AD469" s="261">
        <v>168211436.74000001</v>
      </c>
      <c r="AE469" s="261">
        <v>599644965.37</v>
      </c>
      <c r="AF469" s="261">
        <v>1142276959.9200001</v>
      </c>
      <c r="AG469" s="261">
        <v>2115805940.5200002</v>
      </c>
      <c r="AH469" s="261">
        <v>5334746484.8199997</v>
      </c>
      <c r="AI469" s="261">
        <v>3593624466.5299997</v>
      </c>
      <c r="AJ469" s="261">
        <v>11720663760.810001</v>
      </c>
      <c r="AK469" s="261">
        <v>46624922</v>
      </c>
      <c r="AL469" s="261">
        <v>1910772890.52</v>
      </c>
      <c r="AM469" s="261">
        <v>5181338356.8199997</v>
      </c>
      <c r="AN469" s="261">
        <v>5134713434.8199997</v>
      </c>
      <c r="AO469" s="261">
        <v>3705448467.5299997</v>
      </c>
      <c r="AP469" s="261">
        <v>11920727145.25</v>
      </c>
      <c r="AQ469" s="6"/>
      <c r="AS469" s="6"/>
    </row>
    <row r="470" spans="1:45" s="1" customFormat="1" x14ac:dyDescent="0.25">
      <c r="A470" s="4">
        <v>30501</v>
      </c>
      <c r="B470" s="5" t="s">
        <v>1237</v>
      </c>
      <c r="C470" s="6">
        <f t="shared" ref="C470:R470" si="237">SUM(C471:C552)</f>
        <v>0</v>
      </c>
      <c r="D470" s="6">
        <f t="shared" si="237"/>
        <v>0</v>
      </c>
      <c r="E470" s="6">
        <f t="shared" si="237"/>
        <v>0</v>
      </c>
      <c r="F470" s="6">
        <f t="shared" si="237"/>
        <v>7121399908.9499998</v>
      </c>
      <c r="G470" s="6">
        <f t="shared" si="237"/>
        <v>7121399908.9499998</v>
      </c>
      <c r="H470" s="6">
        <f t="shared" si="237"/>
        <v>661127739</v>
      </c>
      <c r="I470" s="6">
        <f t="shared" si="237"/>
        <v>1222981406.8</v>
      </c>
      <c r="J470" s="6">
        <f t="shared" si="228"/>
        <v>5898418502.1499996</v>
      </c>
      <c r="K470" s="6">
        <f t="shared" si="237"/>
        <v>46827390.75</v>
      </c>
      <c r="L470" s="6">
        <f t="shared" si="237"/>
        <v>369557390.75</v>
      </c>
      <c r="M470" s="6">
        <f t="shared" si="237"/>
        <v>0</v>
      </c>
      <c r="N470" s="6">
        <f t="shared" si="237"/>
        <v>1509666591.5300002</v>
      </c>
      <c r="O470" s="6">
        <f t="shared" si="237"/>
        <v>3378503743.3299999</v>
      </c>
      <c r="P470" s="6">
        <f t="shared" si="237"/>
        <v>0</v>
      </c>
      <c r="Q470" s="6">
        <f t="shared" si="229"/>
        <v>3742896165.6199999</v>
      </c>
      <c r="R470" s="6">
        <f t="shared" si="237"/>
        <v>0</v>
      </c>
      <c r="S470" s="257"/>
      <c r="T470" s="185">
        <v>30501</v>
      </c>
      <c r="U470" s="259" t="s">
        <v>1237</v>
      </c>
      <c r="V470" s="261">
        <v>0</v>
      </c>
      <c r="W470" s="261">
        <v>0</v>
      </c>
      <c r="X470" s="261">
        <v>0</v>
      </c>
      <c r="Y470" s="261">
        <v>7121399908.9499998</v>
      </c>
      <c r="Z470" s="261">
        <v>7121399908.9499998</v>
      </c>
      <c r="AA470" s="261">
        <v>661127739</v>
      </c>
      <c r="AB470" s="261">
        <v>1222981406.8</v>
      </c>
      <c r="AC470" s="261">
        <v>5898418502.1499996</v>
      </c>
      <c r="AD470" s="261">
        <v>46827390.75</v>
      </c>
      <c r="AE470" s="261">
        <v>369557390.75</v>
      </c>
      <c r="AF470" s="261">
        <v>853424016.04999995</v>
      </c>
      <c r="AG470" s="261">
        <v>1509666591.5300002</v>
      </c>
      <c r="AH470" s="261">
        <v>3378503743.3299999</v>
      </c>
      <c r="AI470" s="261">
        <v>2155522336.5299997</v>
      </c>
      <c r="AJ470" s="261">
        <v>3742896165.6199999</v>
      </c>
      <c r="AK470" s="261">
        <v>825015</v>
      </c>
      <c r="AL470" s="261">
        <v>1356942651.53</v>
      </c>
      <c r="AM470" s="261">
        <v>3226604818.3299999</v>
      </c>
      <c r="AN470" s="261">
        <v>3225779803.3299999</v>
      </c>
      <c r="AO470" s="261">
        <v>2239979451.5299997</v>
      </c>
      <c r="AP470" s="261">
        <v>3895650440.0599995</v>
      </c>
      <c r="AQ470" s="6"/>
      <c r="AS470" s="6"/>
    </row>
    <row r="471" spans="1:45" x14ac:dyDescent="0.25">
      <c r="A471" s="185">
        <v>3050101</v>
      </c>
      <c r="B471" s="259" t="s">
        <v>1238</v>
      </c>
      <c r="C471" s="261"/>
      <c r="D471" s="261"/>
      <c r="E471" s="261"/>
      <c r="F471" s="261">
        <v>749700000</v>
      </c>
      <c r="G471" s="261">
        <f t="shared" ref="G471:G534" si="238">+C471+D471-E471+F471</f>
        <v>749700000</v>
      </c>
      <c r="H471" s="261">
        <v>0</v>
      </c>
      <c r="I471" s="261">
        <v>0</v>
      </c>
      <c r="J471" s="261">
        <f t="shared" si="228"/>
        <v>749700000</v>
      </c>
      <c r="K471" s="261">
        <v>0</v>
      </c>
      <c r="L471" s="261">
        <v>0</v>
      </c>
      <c r="M471" s="261"/>
      <c r="N471" s="261">
        <v>0</v>
      </c>
      <c r="O471" s="261">
        <v>0</v>
      </c>
      <c r="P471" s="261"/>
      <c r="Q471" s="177">
        <f t="shared" si="229"/>
        <v>749700000</v>
      </c>
      <c r="R471" s="261"/>
      <c r="T471" s="185">
        <v>3050101</v>
      </c>
      <c r="U471" s="259" t="s">
        <v>1238</v>
      </c>
      <c r="V471" s="261">
        <v>0</v>
      </c>
      <c r="W471" s="261">
        <v>0</v>
      </c>
      <c r="X471" s="261">
        <v>0</v>
      </c>
      <c r="Y471" s="261">
        <v>749700000</v>
      </c>
      <c r="Z471" s="261">
        <v>749700000</v>
      </c>
      <c r="AA471" s="261">
        <v>0</v>
      </c>
      <c r="AB471" s="261">
        <v>0</v>
      </c>
      <c r="AC471" s="261">
        <v>749700000</v>
      </c>
      <c r="AD471" s="261">
        <v>0</v>
      </c>
      <c r="AE471" s="261">
        <v>0</v>
      </c>
      <c r="AF471" s="261">
        <v>0</v>
      </c>
      <c r="AG471" s="261">
        <v>0</v>
      </c>
      <c r="AH471" s="261">
        <v>0</v>
      </c>
      <c r="AI471" s="261">
        <v>0</v>
      </c>
      <c r="AJ471" s="261">
        <v>749700000</v>
      </c>
      <c r="AK471" s="261">
        <v>0</v>
      </c>
      <c r="AL471" s="261">
        <v>0</v>
      </c>
      <c r="AM471" s="261">
        <v>0</v>
      </c>
      <c r="AN471" s="261">
        <v>0</v>
      </c>
      <c r="AO471" s="261">
        <v>0</v>
      </c>
      <c r="AP471" s="261">
        <v>749700000</v>
      </c>
      <c r="AQ471" s="261"/>
      <c r="AS471" s="261"/>
    </row>
    <row r="472" spans="1:45" x14ac:dyDescent="0.25">
      <c r="A472" s="185">
        <v>3050102</v>
      </c>
      <c r="B472" s="259" t="s">
        <v>1239</v>
      </c>
      <c r="C472" s="261"/>
      <c r="D472" s="261"/>
      <c r="E472" s="261"/>
      <c r="F472" s="261">
        <v>3874395</v>
      </c>
      <c r="G472" s="261">
        <f t="shared" si="238"/>
        <v>3874395</v>
      </c>
      <c r="H472" s="261">
        <v>0</v>
      </c>
      <c r="I472" s="261">
        <v>0</v>
      </c>
      <c r="J472" s="261">
        <f t="shared" si="228"/>
        <v>3874395</v>
      </c>
      <c r="K472" s="261">
        <v>0</v>
      </c>
      <c r="L472" s="261">
        <v>0</v>
      </c>
      <c r="M472" s="261"/>
      <c r="N472" s="261">
        <v>3874395</v>
      </c>
      <c r="O472" s="261">
        <v>3874395</v>
      </c>
      <c r="P472" s="261"/>
      <c r="Q472" s="177">
        <f t="shared" si="229"/>
        <v>0</v>
      </c>
      <c r="R472" s="261"/>
      <c r="T472" s="185">
        <v>3050102</v>
      </c>
      <c r="U472" s="259" t="s">
        <v>1239</v>
      </c>
      <c r="V472" s="261">
        <v>0</v>
      </c>
      <c r="W472" s="261">
        <v>0</v>
      </c>
      <c r="X472" s="261">
        <v>0</v>
      </c>
      <c r="Y472" s="261">
        <v>3874395</v>
      </c>
      <c r="Z472" s="261">
        <v>3874395</v>
      </c>
      <c r="AA472" s="261">
        <v>0</v>
      </c>
      <c r="AB472" s="261">
        <v>0</v>
      </c>
      <c r="AC472" s="261">
        <v>3874395</v>
      </c>
      <c r="AD472" s="261">
        <v>0</v>
      </c>
      <c r="AE472" s="261">
        <v>0</v>
      </c>
      <c r="AF472" s="261">
        <v>0</v>
      </c>
      <c r="AG472" s="261">
        <v>3874395</v>
      </c>
      <c r="AH472" s="261">
        <v>3874395</v>
      </c>
      <c r="AI472" s="261">
        <v>3874395</v>
      </c>
      <c r="AJ472" s="261">
        <v>0</v>
      </c>
      <c r="AK472" s="261">
        <v>0</v>
      </c>
      <c r="AL472" s="261">
        <v>3874395</v>
      </c>
      <c r="AM472" s="261">
        <v>3874395</v>
      </c>
      <c r="AN472" s="261">
        <v>3874395</v>
      </c>
      <c r="AO472" s="261">
        <v>3874395</v>
      </c>
      <c r="AP472" s="261">
        <v>0</v>
      </c>
      <c r="AQ472" s="261"/>
      <c r="AS472" s="261"/>
    </row>
    <row r="473" spans="1:45" x14ac:dyDescent="0.25">
      <c r="A473" s="185">
        <v>3050103</v>
      </c>
      <c r="B473" s="259" t="s">
        <v>1240</v>
      </c>
      <c r="C473" s="261"/>
      <c r="D473" s="261"/>
      <c r="E473" s="261"/>
      <c r="F473" s="261">
        <v>558474</v>
      </c>
      <c r="G473" s="261">
        <f t="shared" si="238"/>
        <v>558474</v>
      </c>
      <c r="H473" s="261">
        <v>0</v>
      </c>
      <c r="I473" s="261">
        <v>0</v>
      </c>
      <c r="J473" s="261">
        <f t="shared" si="228"/>
        <v>558474</v>
      </c>
      <c r="K473" s="261">
        <v>0</v>
      </c>
      <c r="L473" s="261">
        <v>0</v>
      </c>
      <c r="M473" s="261"/>
      <c r="N473" s="261">
        <v>0</v>
      </c>
      <c r="O473" s="261">
        <v>0</v>
      </c>
      <c r="P473" s="261"/>
      <c r="Q473" s="177">
        <f t="shared" si="229"/>
        <v>558474</v>
      </c>
      <c r="R473" s="261"/>
      <c r="T473" s="185">
        <v>3050103</v>
      </c>
      <c r="U473" s="259" t="s">
        <v>1240</v>
      </c>
      <c r="V473" s="261">
        <v>0</v>
      </c>
      <c r="W473" s="261">
        <v>0</v>
      </c>
      <c r="X473" s="261">
        <v>0</v>
      </c>
      <c r="Y473" s="261">
        <v>558474</v>
      </c>
      <c r="Z473" s="261">
        <v>558474</v>
      </c>
      <c r="AA473" s="261">
        <v>0</v>
      </c>
      <c r="AB473" s="261">
        <v>0</v>
      </c>
      <c r="AC473" s="261">
        <v>558474</v>
      </c>
      <c r="AD473" s="261">
        <v>0</v>
      </c>
      <c r="AE473" s="261">
        <v>0</v>
      </c>
      <c r="AF473" s="261">
        <v>0</v>
      </c>
      <c r="AG473" s="261">
        <v>0</v>
      </c>
      <c r="AH473" s="261">
        <v>0</v>
      </c>
      <c r="AI473" s="261">
        <v>0</v>
      </c>
      <c r="AJ473" s="261">
        <v>558474</v>
      </c>
      <c r="AK473" s="261">
        <v>0</v>
      </c>
      <c r="AL473" s="261">
        <v>0</v>
      </c>
      <c r="AM473" s="261">
        <v>0</v>
      </c>
      <c r="AN473" s="261">
        <v>0</v>
      </c>
      <c r="AO473" s="261">
        <v>0</v>
      </c>
      <c r="AP473" s="261">
        <v>558474</v>
      </c>
      <c r="AQ473" s="261"/>
      <c r="AS473" s="261"/>
    </row>
    <row r="474" spans="1:45" x14ac:dyDescent="0.25">
      <c r="A474" s="185">
        <v>3050104</v>
      </c>
      <c r="B474" s="259" t="s">
        <v>1241</v>
      </c>
      <c r="C474" s="261"/>
      <c r="D474" s="261"/>
      <c r="E474" s="261"/>
      <c r="F474" s="261">
        <v>55325145</v>
      </c>
      <c r="G474" s="261">
        <f t="shared" si="238"/>
        <v>55325145</v>
      </c>
      <c r="H474" s="261">
        <v>0</v>
      </c>
      <c r="I474" s="261">
        <v>0</v>
      </c>
      <c r="J474" s="261">
        <f t="shared" si="228"/>
        <v>55325145</v>
      </c>
      <c r="K474" s="261">
        <v>0</v>
      </c>
      <c r="L474" s="261">
        <v>0</v>
      </c>
      <c r="M474" s="261"/>
      <c r="N474" s="261">
        <v>0</v>
      </c>
      <c r="O474" s="261">
        <v>0</v>
      </c>
      <c r="P474" s="261"/>
      <c r="Q474" s="177">
        <f t="shared" si="229"/>
        <v>55325145</v>
      </c>
      <c r="R474" s="261"/>
      <c r="T474" s="185">
        <v>3050104</v>
      </c>
      <c r="U474" s="259" t="s">
        <v>1241</v>
      </c>
      <c r="V474" s="261">
        <v>0</v>
      </c>
      <c r="W474" s="261">
        <v>0</v>
      </c>
      <c r="X474" s="261">
        <v>0</v>
      </c>
      <c r="Y474" s="261">
        <v>55325145</v>
      </c>
      <c r="Z474" s="261">
        <v>55325145</v>
      </c>
      <c r="AA474" s="261">
        <v>0</v>
      </c>
      <c r="AB474" s="261">
        <v>0</v>
      </c>
      <c r="AC474" s="261">
        <v>55325145</v>
      </c>
      <c r="AD474" s="261">
        <v>0</v>
      </c>
      <c r="AE474" s="261">
        <v>0</v>
      </c>
      <c r="AF474" s="261">
        <v>0</v>
      </c>
      <c r="AG474" s="261">
        <v>0</v>
      </c>
      <c r="AH474" s="261">
        <v>0</v>
      </c>
      <c r="AI474" s="261">
        <v>0</v>
      </c>
      <c r="AJ474" s="261">
        <v>55325145</v>
      </c>
      <c r="AK474" s="261">
        <v>0</v>
      </c>
      <c r="AL474" s="261">
        <v>0</v>
      </c>
      <c r="AM474" s="261">
        <v>0</v>
      </c>
      <c r="AN474" s="261">
        <v>0</v>
      </c>
      <c r="AO474" s="261">
        <v>0</v>
      </c>
      <c r="AP474" s="261">
        <v>55325145</v>
      </c>
      <c r="AQ474" s="261"/>
      <c r="AS474" s="261"/>
    </row>
    <row r="475" spans="1:45" x14ac:dyDescent="0.25">
      <c r="A475" s="185">
        <v>3050105</v>
      </c>
      <c r="B475" s="259" t="s">
        <v>1242</v>
      </c>
      <c r="C475" s="262"/>
      <c r="D475" s="261"/>
      <c r="E475" s="261"/>
      <c r="F475" s="261">
        <v>6272260</v>
      </c>
      <c r="G475" s="261">
        <f t="shared" si="238"/>
        <v>6272260</v>
      </c>
      <c r="H475" s="261">
        <v>0</v>
      </c>
      <c r="I475" s="261">
        <v>0</v>
      </c>
      <c r="J475" s="261">
        <f t="shared" si="228"/>
        <v>6272260</v>
      </c>
      <c r="K475" s="261">
        <v>0</v>
      </c>
      <c r="L475" s="261">
        <v>0</v>
      </c>
      <c r="M475" s="261"/>
      <c r="N475" s="261">
        <v>0</v>
      </c>
      <c r="O475" s="261">
        <v>0</v>
      </c>
      <c r="P475" s="261"/>
      <c r="Q475" s="177">
        <f t="shared" si="229"/>
        <v>6272260</v>
      </c>
      <c r="R475" s="261"/>
      <c r="T475" s="185">
        <v>3050105</v>
      </c>
      <c r="U475" s="259" t="s">
        <v>1242</v>
      </c>
      <c r="V475" s="261">
        <v>0</v>
      </c>
      <c r="W475" s="261">
        <v>0</v>
      </c>
      <c r="X475" s="261">
        <v>0</v>
      </c>
      <c r="Y475" s="261">
        <v>6272260</v>
      </c>
      <c r="Z475" s="261">
        <v>6272260</v>
      </c>
      <c r="AA475" s="261">
        <v>0</v>
      </c>
      <c r="AB475" s="261">
        <v>0</v>
      </c>
      <c r="AC475" s="261">
        <v>6272260</v>
      </c>
      <c r="AD475" s="261">
        <v>0</v>
      </c>
      <c r="AE475" s="261">
        <v>0</v>
      </c>
      <c r="AF475" s="261">
        <v>0</v>
      </c>
      <c r="AG475" s="261">
        <v>0</v>
      </c>
      <c r="AH475" s="261">
        <v>0</v>
      </c>
      <c r="AI475" s="261">
        <v>0</v>
      </c>
      <c r="AJ475" s="261">
        <v>6272260</v>
      </c>
      <c r="AK475" s="261">
        <v>0</v>
      </c>
      <c r="AL475" s="261">
        <v>0</v>
      </c>
      <c r="AM475" s="261">
        <v>0</v>
      </c>
      <c r="AN475" s="261">
        <v>0</v>
      </c>
      <c r="AO475" s="261">
        <v>0</v>
      </c>
      <c r="AP475" s="261">
        <v>6272260</v>
      </c>
      <c r="AQ475" s="261"/>
      <c r="AS475" s="261"/>
    </row>
    <row r="476" spans="1:45" x14ac:dyDescent="0.25">
      <c r="A476" s="185">
        <v>3050106</v>
      </c>
      <c r="B476" s="259" t="s">
        <v>1243</v>
      </c>
      <c r="C476" s="261"/>
      <c r="D476" s="261"/>
      <c r="E476" s="261"/>
      <c r="F476" s="261">
        <v>821400131</v>
      </c>
      <c r="G476" s="261">
        <f t="shared" si="238"/>
        <v>821400131</v>
      </c>
      <c r="H476" s="261">
        <v>0</v>
      </c>
      <c r="I476" s="261">
        <v>0</v>
      </c>
      <c r="J476" s="261">
        <f t="shared" si="228"/>
        <v>821400131</v>
      </c>
      <c r="K476" s="261">
        <v>0</v>
      </c>
      <c r="L476" s="261">
        <v>0</v>
      </c>
      <c r="M476" s="261"/>
      <c r="N476" s="261">
        <v>0</v>
      </c>
      <c r="O476" s="261">
        <v>0</v>
      </c>
      <c r="P476" s="261"/>
      <c r="Q476" s="177">
        <f t="shared" si="229"/>
        <v>821400131</v>
      </c>
      <c r="R476" s="261"/>
      <c r="T476" s="185">
        <v>3050106</v>
      </c>
      <c r="U476" s="259" t="s">
        <v>1243</v>
      </c>
      <c r="V476" s="261">
        <v>0</v>
      </c>
      <c r="W476" s="261">
        <v>0</v>
      </c>
      <c r="X476" s="261">
        <v>0</v>
      </c>
      <c r="Y476" s="261">
        <v>821400131</v>
      </c>
      <c r="Z476" s="261">
        <v>821400131</v>
      </c>
      <c r="AA476" s="261">
        <v>0</v>
      </c>
      <c r="AB476" s="261">
        <v>0</v>
      </c>
      <c r="AC476" s="261">
        <v>821400131</v>
      </c>
      <c r="AD476" s="261">
        <v>0</v>
      </c>
      <c r="AE476" s="261">
        <v>0</v>
      </c>
      <c r="AF476" s="261">
        <v>0</v>
      </c>
      <c r="AG476" s="261">
        <v>0</v>
      </c>
      <c r="AH476" s="261">
        <v>0</v>
      </c>
      <c r="AI476" s="261">
        <v>0</v>
      </c>
      <c r="AJ476" s="261">
        <v>821400131</v>
      </c>
      <c r="AK476" s="261">
        <v>0</v>
      </c>
      <c r="AL476" s="261">
        <v>0</v>
      </c>
      <c r="AM476" s="261">
        <v>0</v>
      </c>
      <c r="AN476" s="261">
        <v>0</v>
      </c>
      <c r="AO476" s="261">
        <v>0</v>
      </c>
      <c r="AP476" s="261">
        <v>821400131</v>
      </c>
      <c r="AQ476" s="261"/>
      <c r="AS476" s="261"/>
    </row>
    <row r="477" spans="1:45" x14ac:dyDescent="0.25">
      <c r="A477" s="185">
        <v>3050107</v>
      </c>
      <c r="B477" s="259" t="s">
        <v>1244</v>
      </c>
      <c r="C477" s="261"/>
      <c r="D477" s="261"/>
      <c r="E477" s="261"/>
      <c r="F477" s="261">
        <v>1200</v>
      </c>
      <c r="G477" s="261">
        <f t="shared" si="238"/>
        <v>1200</v>
      </c>
      <c r="H477" s="261">
        <v>0</v>
      </c>
      <c r="I477" s="261">
        <v>0</v>
      </c>
      <c r="J477" s="261">
        <f t="shared" si="228"/>
        <v>1200</v>
      </c>
      <c r="K477" s="261">
        <v>0</v>
      </c>
      <c r="L477" s="261">
        <v>0</v>
      </c>
      <c r="M477" s="261"/>
      <c r="N477" s="261">
        <v>0</v>
      </c>
      <c r="O477" s="261">
        <v>0</v>
      </c>
      <c r="P477" s="261"/>
      <c r="Q477" s="177">
        <f t="shared" si="229"/>
        <v>1200</v>
      </c>
      <c r="R477" s="261"/>
      <c r="T477" s="185">
        <v>3050107</v>
      </c>
      <c r="U477" s="259" t="s">
        <v>1244</v>
      </c>
      <c r="V477" s="261">
        <v>0</v>
      </c>
      <c r="W477" s="261">
        <v>0</v>
      </c>
      <c r="X477" s="261">
        <v>0</v>
      </c>
      <c r="Y477" s="261">
        <v>1200</v>
      </c>
      <c r="Z477" s="261">
        <v>1200</v>
      </c>
      <c r="AA477" s="261">
        <v>0</v>
      </c>
      <c r="AB477" s="261">
        <v>0</v>
      </c>
      <c r="AC477" s="261">
        <v>1200</v>
      </c>
      <c r="AD477" s="261">
        <v>0</v>
      </c>
      <c r="AE477" s="261">
        <v>0</v>
      </c>
      <c r="AF477" s="261">
        <v>0</v>
      </c>
      <c r="AG477" s="261">
        <v>0</v>
      </c>
      <c r="AH477" s="261">
        <v>0</v>
      </c>
      <c r="AI477" s="261">
        <v>0</v>
      </c>
      <c r="AJ477" s="261">
        <v>1200</v>
      </c>
      <c r="AK477" s="261">
        <v>0</v>
      </c>
      <c r="AL477" s="261">
        <v>0</v>
      </c>
      <c r="AM477" s="261">
        <v>0</v>
      </c>
      <c r="AN477" s="261">
        <v>0</v>
      </c>
      <c r="AO477" s="261">
        <v>0</v>
      </c>
      <c r="AP477" s="261">
        <v>1200</v>
      </c>
      <c r="AQ477" s="261"/>
      <c r="AS477" s="261"/>
    </row>
    <row r="478" spans="1:45" x14ac:dyDescent="0.25">
      <c r="A478" s="185">
        <v>3050108</v>
      </c>
      <c r="B478" s="259" t="s">
        <v>1245</v>
      </c>
      <c r="C478" s="261"/>
      <c r="D478" s="261"/>
      <c r="E478" s="261"/>
      <c r="F478" s="261">
        <v>225205554.63999999</v>
      </c>
      <c r="G478" s="261">
        <f t="shared" si="238"/>
        <v>225205554.63999999</v>
      </c>
      <c r="H478" s="261">
        <v>0</v>
      </c>
      <c r="I478" s="261">
        <v>0</v>
      </c>
      <c r="J478" s="261">
        <f t="shared" si="228"/>
        <v>225205554.63999999</v>
      </c>
      <c r="K478" s="261">
        <v>0</v>
      </c>
      <c r="L478" s="261">
        <v>0</v>
      </c>
      <c r="M478" s="261"/>
      <c r="N478" s="261">
        <v>0</v>
      </c>
      <c r="O478" s="261">
        <v>225205554.63999999</v>
      </c>
      <c r="P478" s="261"/>
      <c r="Q478" s="177">
        <f t="shared" si="229"/>
        <v>0</v>
      </c>
      <c r="R478" s="261"/>
      <c r="T478" s="185">
        <v>3050108</v>
      </c>
      <c r="U478" s="259" t="s">
        <v>1245</v>
      </c>
      <c r="V478" s="261">
        <v>0</v>
      </c>
      <c r="W478" s="261">
        <v>0</v>
      </c>
      <c r="X478" s="261">
        <v>0</v>
      </c>
      <c r="Y478" s="261">
        <v>225205554.63999999</v>
      </c>
      <c r="Z478" s="261">
        <v>225205554.63999999</v>
      </c>
      <c r="AA478" s="261">
        <v>0</v>
      </c>
      <c r="AB478" s="261">
        <v>0</v>
      </c>
      <c r="AC478" s="261">
        <v>225205554.63999999</v>
      </c>
      <c r="AD478" s="261">
        <v>0</v>
      </c>
      <c r="AE478" s="261">
        <v>0</v>
      </c>
      <c r="AF478" s="261">
        <v>0</v>
      </c>
      <c r="AG478" s="261">
        <v>0</v>
      </c>
      <c r="AH478" s="261">
        <v>225205554.63999999</v>
      </c>
      <c r="AI478" s="261">
        <v>225205554.63999999</v>
      </c>
      <c r="AJ478" s="261">
        <v>0</v>
      </c>
      <c r="AK478" s="261">
        <v>0</v>
      </c>
      <c r="AL478" s="261">
        <v>0</v>
      </c>
      <c r="AM478" s="261">
        <v>225205554.63999999</v>
      </c>
      <c r="AN478" s="261">
        <v>225205554.63999999</v>
      </c>
      <c r="AO478" s="261">
        <v>225205554.63999999</v>
      </c>
      <c r="AP478" s="261">
        <v>0</v>
      </c>
      <c r="AQ478" s="261"/>
      <c r="AS478" s="261"/>
    </row>
    <row r="479" spans="1:45" x14ac:dyDescent="0.25">
      <c r="A479" s="185">
        <v>3050109</v>
      </c>
      <c r="B479" s="259" t="s">
        <v>1246</v>
      </c>
      <c r="C479" s="261"/>
      <c r="D479" s="261"/>
      <c r="E479" s="261"/>
      <c r="F479" s="261">
        <v>61047.71</v>
      </c>
      <c r="G479" s="261">
        <f t="shared" si="238"/>
        <v>61047.71</v>
      </c>
      <c r="H479" s="261">
        <v>0</v>
      </c>
      <c r="I479" s="261">
        <v>0</v>
      </c>
      <c r="J479" s="261">
        <f t="shared" si="228"/>
        <v>61047.71</v>
      </c>
      <c r="K479" s="261">
        <v>0</v>
      </c>
      <c r="L479" s="261">
        <v>0</v>
      </c>
      <c r="M479" s="261"/>
      <c r="N479" s="261">
        <v>61047.71</v>
      </c>
      <c r="O479" s="261">
        <v>61047.71</v>
      </c>
      <c r="P479" s="261"/>
      <c r="Q479" s="177">
        <f t="shared" si="229"/>
        <v>0</v>
      </c>
      <c r="R479" s="261"/>
      <c r="T479" s="185">
        <v>3050109</v>
      </c>
      <c r="U479" s="259" t="s">
        <v>1246</v>
      </c>
      <c r="V479" s="261">
        <v>0</v>
      </c>
      <c r="W479" s="261">
        <v>0</v>
      </c>
      <c r="X479" s="261">
        <v>0</v>
      </c>
      <c r="Y479" s="261">
        <v>61047.71</v>
      </c>
      <c r="Z479" s="261">
        <v>61047.71</v>
      </c>
      <c r="AA479" s="261">
        <v>0</v>
      </c>
      <c r="AB479" s="261">
        <v>0</v>
      </c>
      <c r="AC479" s="261">
        <v>61047.71</v>
      </c>
      <c r="AD479" s="261">
        <v>0</v>
      </c>
      <c r="AE479" s="261">
        <v>0</v>
      </c>
      <c r="AF479" s="261">
        <v>0</v>
      </c>
      <c r="AG479" s="261">
        <v>61047.71</v>
      </c>
      <c r="AH479" s="261">
        <v>61047.71</v>
      </c>
      <c r="AI479" s="261">
        <v>61047.71</v>
      </c>
      <c r="AJ479" s="261">
        <v>0</v>
      </c>
      <c r="AK479" s="261">
        <v>0</v>
      </c>
      <c r="AL479" s="261">
        <v>61047.71</v>
      </c>
      <c r="AM479" s="261">
        <v>61047.71</v>
      </c>
      <c r="AN479" s="261">
        <v>61047.71</v>
      </c>
      <c r="AO479" s="261">
        <v>61047.71</v>
      </c>
      <c r="AP479" s="261">
        <v>0</v>
      </c>
      <c r="AQ479" s="261"/>
      <c r="AS479" s="261"/>
    </row>
    <row r="480" spans="1:45" x14ac:dyDescent="0.25">
      <c r="A480" s="185">
        <v>3050110</v>
      </c>
      <c r="B480" s="259" t="s">
        <v>1247</v>
      </c>
      <c r="C480" s="261"/>
      <c r="D480" s="261"/>
      <c r="E480" s="261"/>
      <c r="F480" s="261">
        <v>60001</v>
      </c>
      <c r="G480" s="261">
        <f t="shared" si="238"/>
        <v>60001</v>
      </c>
      <c r="H480" s="261">
        <v>0</v>
      </c>
      <c r="I480" s="261">
        <v>0</v>
      </c>
      <c r="J480" s="261">
        <f t="shared" si="228"/>
        <v>60001</v>
      </c>
      <c r="K480" s="261">
        <v>0</v>
      </c>
      <c r="L480" s="261">
        <v>0</v>
      </c>
      <c r="M480" s="261"/>
      <c r="N480" s="261">
        <v>60001</v>
      </c>
      <c r="O480" s="261">
        <v>60001</v>
      </c>
      <c r="P480" s="261"/>
      <c r="Q480" s="177">
        <f t="shared" si="229"/>
        <v>0</v>
      </c>
      <c r="R480" s="261"/>
      <c r="T480" s="185">
        <v>3050110</v>
      </c>
      <c r="U480" s="259" t="s">
        <v>1247</v>
      </c>
      <c r="V480" s="261">
        <v>0</v>
      </c>
      <c r="W480" s="261">
        <v>0</v>
      </c>
      <c r="X480" s="261">
        <v>0</v>
      </c>
      <c r="Y480" s="261">
        <v>60001</v>
      </c>
      <c r="Z480" s="261">
        <v>60001</v>
      </c>
      <c r="AA480" s="261">
        <v>0</v>
      </c>
      <c r="AB480" s="261">
        <v>0</v>
      </c>
      <c r="AC480" s="261">
        <v>60001</v>
      </c>
      <c r="AD480" s="261">
        <v>0</v>
      </c>
      <c r="AE480" s="261">
        <v>0</v>
      </c>
      <c r="AF480" s="261">
        <v>0</v>
      </c>
      <c r="AG480" s="261">
        <v>60001</v>
      </c>
      <c r="AH480" s="261">
        <v>60001</v>
      </c>
      <c r="AI480" s="261">
        <v>60001</v>
      </c>
      <c r="AJ480" s="261">
        <v>0</v>
      </c>
      <c r="AK480" s="261">
        <v>0</v>
      </c>
      <c r="AL480" s="261">
        <v>60001</v>
      </c>
      <c r="AM480" s="261">
        <v>60001</v>
      </c>
      <c r="AN480" s="261">
        <v>60001</v>
      </c>
      <c r="AO480" s="261">
        <v>60001</v>
      </c>
      <c r="AP480" s="261">
        <v>0</v>
      </c>
      <c r="AQ480" s="261"/>
      <c r="AS480" s="261"/>
    </row>
    <row r="481" spans="1:45" x14ac:dyDescent="0.25">
      <c r="A481" s="185">
        <v>3050111</v>
      </c>
      <c r="B481" s="259" t="s">
        <v>1248</v>
      </c>
      <c r="C481" s="261"/>
      <c r="D481" s="261"/>
      <c r="E481" s="261"/>
      <c r="F481" s="261">
        <v>269093796</v>
      </c>
      <c r="G481" s="261">
        <f t="shared" si="238"/>
        <v>269093796</v>
      </c>
      <c r="H481" s="261">
        <v>0</v>
      </c>
      <c r="I481" s="261">
        <v>0</v>
      </c>
      <c r="J481" s="261">
        <f t="shared" si="228"/>
        <v>269093796</v>
      </c>
      <c r="K481" s="261">
        <v>0</v>
      </c>
      <c r="L481" s="261">
        <v>0</v>
      </c>
      <c r="M481" s="261"/>
      <c r="N481" s="261">
        <v>269093796</v>
      </c>
      <c r="O481" s="261">
        <v>269093796</v>
      </c>
      <c r="P481" s="261"/>
      <c r="Q481" s="177">
        <f t="shared" si="229"/>
        <v>0</v>
      </c>
      <c r="R481" s="261"/>
      <c r="T481" s="185">
        <v>3050111</v>
      </c>
      <c r="U481" s="259" t="s">
        <v>1248</v>
      </c>
      <c r="V481" s="261">
        <v>0</v>
      </c>
      <c r="W481" s="261">
        <v>0</v>
      </c>
      <c r="X481" s="261">
        <v>0</v>
      </c>
      <c r="Y481" s="261">
        <v>269093796</v>
      </c>
      <c r="Z481" s="261">
        <v>269093796</v>
      </c>
      <c r="AA481" s="261">
        <v>0</v>
      </c>
      <c r="AB481" s="261">
        <v>0</v>
      </c>
      <c r="AC481" s="261">
        <v>269093796</v>
      </c>
      <c r="AD481" s="261">
        <v>0</v>
      </c>
      <c r="AE481" s="261">
        <v>0</v>
      </c>
      <c r="AF481" s="261">
        <v>0</v>
      </c>
      <c r="AG481" s="261">
        <v>269093796</v>
      </c>
      <c r="AH481" s="261">
        <v>269093796</v>
      </c>
      <c r="AI481" s="261">
        <v>269093796</v>
      </c>
      <c r="AJ481" s="261">
        <v>0</v>
      </c>
      <c r="AK481" s="261">
        <v>0</v>
      </c>
      <c r="AL481" s="261">
        <v>269093796</v>
      </c>
      <c r="AM481" s="261">
        <v>269093796</v>
      </c>
      <c r="AN481" s="261">
        <v>269093796</v>
      </c>
      <c r="AO481" s="261">
        <v>269093796</v>
      </c>
      <c r="AP481" s="261">
        <v>0</v>
      </c>
      <c r="AQ481" s="261"/>
      <c r="AS481" s="261"/>
    </row>
    <row r="482" spans="1:45" x14ac:dyDescent="0.25">
      <c r="A482" s="185">
        <v>3050112</v>
      </c>
      <c r="B482" s="259" t="s">
        <v>1249</v>
      </c>
      <c r="C482" s="261"/>
      <c r="D482" s="261"/>
      <c r="E482" s="261"/>
      <c r="F482" s="261">
        <v>463992085.86000001</v>
      </c>
      <c r="G482" s="261">
        <f t="shared" si="238"/>
        <v>463992085.86000001</v>
      </c>
      <c r="H482" s="261">
        <v>0</v>
      </c>
      <c r="I482" s="261">
        <v>0</v>
      </c>
      <c r="J482" s="261">
        <f t="shared" si="228"/>
        <v>463992085.86000001</v>
      </c>
      <c r="K482" s="261">
        <v>0</v>
      </c>
      <c r="L482" s="261">
        <v>0</v>
      </c>
      <c r="M482" s="261"/>
      <c r="N482" s="261">
        <v>463992085.86000001</v>
      </c>
      <c r="O482" s="261">
        <v>463992085.86000001</v>
      </c>
      <c r="P482" s="261"/>
      <c r="Q482" s="177">
        <f t="shared" si="229"/>
        <v>0</v>
      </c>
      <c r="R482" s="261"/>
      <c r="T482" s="185">
        <v>3050112</v>
      </c>
      <c r="U482" s="259" t="s">
        <v>1249</v>
      </c>
      <c r="V482" s="261">
        <v>0</v>
      </c>
      <c r="W482" s="261">
        <v>0</v>
      </c>
      <c r="X482" s="261">
        <v>0</v>
      </c>
      <c r="Y482" s="261">
        <v>463992085.86000001</v>
      </c>
      <c r="Z482" s="261">
        <v>463992085.86000001</v>
      </c>
      <c r="AA482" s="261">
        <v>0</v>
      </c>
      <c r="AB482" s="261">
        <v>0</v>
      </c>
      <c r="AC482" s="261">
        <v>463992085.86000001</v>
      </c>
      <c r="AD482" s="261">
        <v>0</v>
      </c>
      <c r="AE482" s="261">
        <v>0</v>
      </c>
      <c r="AF482" s="261">
        <v>0</v>
      </c>
      <c r="AG482" s="261">
        <v>463992085.86000001</v>
      </c>
      <c r="AH482" s="261">
        <v>463992085.86000001</v>
      </c>
      <c r="AI482" s="261">
        <v>463992085.86000001</v>
      </c>
      <c r="AJ482" s="261">
        <v>0</v>
      </c>
      <c r="AK482" s="261">
        <v>0</v>
      </c>
      <c r="AL482" s="261">
        <v>463992085.86000001</v>
      </c>
      <c r="AM482" s="261">
        <v>463992085.86000001</v>
      </c>
      <c r="AN482" s="261">
        <v>463992085.86000001</v>
      </c>
      <c r="AO482" s="261">
        <v>463992085.86000001</v>
      </c>
      <c r="AP482" s="261">
        <v>0</v>
      </c>
      <c r="AQ482" s="261"/>
      <c r="AS482" s="261"/>
    </row>
    <row r="483" spans="1:45" x14ac:dyDescent="0.25">
      <c r="A483" s="185">
        <v>3050113</v>
      </c>
      <c r="B483" s="259" t="s">
        <v>1250</v>
      </c>
      <c r="C483" s="261"/>
      <c r="D483" s="261"/>
      <c r="E483" s="261"/>
      <c r="F483" s="261">
        <v>32822733</v>
      </c>
      <c r="G483" s="261">
        <f t="shared" si="238"/>
        <v>32822733</v>
      </c>
      <c r="H483" s="261">
        <v>0</v>
      </c>
      <c r="I483" s="261">
        <v>0</v>
      </c>
      <c r="J483" s="261">
        <f t="shared" si="228"/>
        <v>32822733</v>
      </c>
      <c r="K483" s="261">
        <v>0</v>
      </c>
      <c r="L483" s="261">
        <v>0</v>
      </c>
      <c r="M483" s="261"/>
      <c r="N483" s="261">
        <v>32822733</v>
      </c>
      <c r="O483" s="261">
        <v>32822733</v>
      </c>
      <c r="P483" s="261"/>
      <c r="Q483" s="177">
        <f t="shared" si="229"/>
        <v>0</v>
      </c>
      <c r="R483" s="261"/>
      <c r="T483" s="185">
        <v>3050113</v>
      </c>
      <c r="U483" s="259" t="s">
        <v>1250</v>
      </c>
      <c r="V483" s="261">
        <v>0</v>
      </c>
      <c r="W483" s="261">
        <v>0</v>
      </c>
      <c r="X483" s="261">
        <v>0</v>
      </c>
      <c r="Y483" s="261">
        <v>32822733</v>
      </c>
      <c r="Z483" s="261">
        <v>32822733</v>
      </c>
      <c r="AA483" s="261">
        <v>0</v>
      </c>
      <c r="AB483" s="261">
        <v>0</v>
      </c>
      <c r="AC483" s="261">
        <v>32822733</v>
      </c>
      <c r="AD483" s="261">
        <v>0</v>
      </c>
      <c r="AE483" s="261">
        <v>0</v>
      </c>
      <c r="AF483" s="261">
        <v>0</v>
      </c>
      <c r="AG483" s="261">
        <v>32822733</v>
      </c>
      <c r="AH483" s="261">
        <v>32822733</v>
      </c>
      <c r="AI483" s="261">
        <v>32822733</v>
      </c>
      <c r="AJ483" s="261">
        <v>0</v>
      </c>
      <c r="AK483" s="261">
        <v>0</v>
      </c>
      <c r="AL483" s="261">
        <v>32822733</v>
      </c>
      <c r="AM483" s="261">
        <v>32822733</v>
      </c>
      <c r="AN483" s="261">
        <v>32822733</v>
      </c>
      <c r="AO483" s="261">
        <v>32822733</v>
      </c>
      <c r="AP483" s="261">
        <v>0</v>
      </c>
      <c r="AQ483" s="261"/>
      <c r="AS483" s="261"/>
    </row>
    <row r="484" spans="1:45" x14ac:dyDescent="0.25">
      <c r="A484" s="185">
        <v>3050114</v>
      </c>
      <c r="B484" s="259" t="s">
        <v>1251</v>
      </c>
      <c r="C484" s="261"/>
      <c r="D484" s="261"/>
      <c r="E484" s="261"/>
      <c r="F484" s="261">
        <v>178599869</v>
      </c>
      <c r="G484" s="261">
        <f t="shared" si="238"/>
        <v>178599869</v>
      </c>
      <c r="H484" s="261">
        <v>0</v>
      </c>
      <c r="I484" s="261">
        <v>0</v>
      </c>
      <c r="J484" s="261">
        <f t="shared" si="228"/>
        <v>178599869</v>
      </c>
      <c r="K484" s="261">
        <v>0</v>
      </c>
      <c r="L484" s="261">
        <v>0</v>
      </c>
      <c r="M484" s="261"/>
      <c r="N484" s="261">
        <v>0</v>
      </c>
      <c r="O484" s="261">
        <v>0</v>
      </c>
      <c r="P484" s="261"/>
      <c r="Q484" s="177">
        <f t="shared" si="229"/>
        <v>178599869</v>
      </c>
      <c r="R484" s="261"/>
      <c r="T484" s="185">
        <v>3050114</v>
      </c>
      <c r="U484" s="259" t="s">
        <v>1251</v>
      </c>
      <c r="V484" s="261">
        <v>0</v>
      </c>
      <c r="W484" s="261">
        <v>0</v>
      </c>
      <c r="X484" s="261">
        <v>0</v>
      </c>
      <c r="Y484" s="261">
        <v>178599869</v>
      </c>
      <c r="Z484" s="261">
        <v>178599869</v>
      </c>
      <c r="AA484" s="261">
        <v>0</v>
      </c>
      <c r="AB484" s="261">
        <v>0</v>
      </c>
      <c r="AC484" s="261">
        <v>178599869</v>
      </c>
      <c r="AD484" s="261">
        <v>0</v>
      </c>
      <c r="AE484" s="261">
        <v>0</v>
      </c>
      <c r="AF484" s="261">
        <v>0</v>
      </c>
      <c r="AG484" s="261">
        <v>0</v>
      </c>
      <c r="AH484" s="261">
        <v>0</v>
      </c>
      <c r="AI484" s="261">
        <v>0</v>
      </c>
      <c r="AJ484" s="261">
        <v>178599869</v>
      </c>
      <c r="AK484" s="261">
        <v>0</v>
      </c>
      <c r="AL484" s="261">
        <v>0</v>
      </c>
      <c r="AM484" s="261">
        <v>0</v>
      </c>
      <c r="AN484" s="261">
        <v>0</v>
      </c>
      <c r="AO484" s="261">
        <v>0</v>
      </c>
      <c r="AP484" s="261">
        <v>178599869</v>
      </c>
      <c r="AQ484" s="261"/>
      <c r="AS484" s="261"/>
    </row>
    <row r="485" spans="1:45" x14ac:dyDescent="0.25">
      <c r="A485" s="185">
        <v>3050115</v>
      </c>
      <c r="B485" s="259" t="s">
        <v>1252</v>
      </c>
      <c r="C485" s="261"/>
      <c r="D485" s="261"/>
      <c r="E485" s="261"/>
      <c r="F485" s="261">
        <v>679523940.77999997</v>
      </c>
      <c r="G485" s="261">
        <f t="shared" si="238"/>
        <v>679523940.77999997</v>
      </c>
      <c r="H485" s="261">
        <v>44164542</v>
      </c>
      <c r="I485" s="261">
        <v>44164542</v>
      </c>
      <c r="J485" s="261">
        <f t="shared" si="228"/>
        <v>635359398.77999997</v>
      </c>
      <c r="K485" s="261">
        <v>44164541.75</v>
      </c>
      <c r="L485" s="261">
        <v>44164541.75</v>
      </c>
      <c r="M485" s="261"/>
      <c r="N485" s="261">
        <v>44164542</v>
      </c>
      <c r="O485" s="261">
        <v>44164542</v>
      </c>
      <c r="P485" s="261"/>
      <c r="Q485" s="177">
        <f t="shared" si="229"/>
        <v>635359398.77999997</v>
      </c>
      <c r="R485" s="261"/>
      <c r="T485" s="185">
        <v>3050115</v>
      </c>
      <c r="U485" s="259" t="s">
        <v>1252</v>
      </c>
      <c r="V485" s="261">
        <v>0</v>
      </c>
      <c r="W485" s="261">
        <v>0</v>
      </c>
      <c r="X485" s="261">
        <v>0</v>
      </c>
      <c r="Y485" s="261">
        <v>679523940.77999997</v>
      </c>
      <c r="Z485" s="261">
        <v>679523940.77999997</v>
      </c>
      <c r="AA485" s="261">
        <v>44164542</v>
      </c>
      <c r="AB485" s="261">
        <v>44164542</v>
      </c>
      <c r="AC485" s="261">
        <v>635359398.77999997</v>
      </c>
      <c r="AD485" s="261">
        <v>44164541.75</v>
      </c>
      <c r="AE485" s="261">
        <v>44164541.75</v>
      </c>
      <c r="AF485" s="261">
        <v>0.25</v>
      </c>
      <c r="AG485" s="261">
        <v>44164542</v>
      </c>
      <c r="AH485" s="261">
        <v>44164542</v>
      </c>
      <c r="AI485" s="261">
        <v>0</v>
      </c>
      <c r="AJ485" s="261">
        <v>635359398.77999997</v>
      </c>
      <c r="AK485" s="261">
        <v>0</v>
      </c>
      <c r="AL485" s="261">
        <v>0</v>
      </c>
      <c r="AM485" s="261">
        <v>0</v>
      </c>
      <c r="AN485" s="261">
        <v>0</v>
      </c>
      <c r="AO485" s="261">
        <v>0</v>
      </c>
      <c r="AP485" s="261">
        <v>679523940.77999997</v>
      </c>
      <c r="AQ485" s="261"/>
      <c r="AS485" s="261"/>
    </row>
    <row r="486" spans="1:45" x14ac:dyDescent="0.25">
      <c r="A486" s="185">
        <v>3050116</v>
      </c>
      <c r="B486" s="259" t="s">
        <v>1253</v>
      </c>
      <c r="C486" s="261"/>
      <c r="D486" s="261"/>
      <c r="E486" s="261"/>
      <c r="F486" s="261">
        <v>557870</v>
      </c>
      <c r="G486" s="261">
        <f t="shared" si="238"/>
        <v>557870</v>
      </c>
      <c r="H486" s="261">
        <v>0</v>
      </c>
      <c r="I486" s="261">
        <v>557870</v>
      </c>
      <c r="J486" s="261">
        <f t="shared" si="228"/>
        <v>0</v>
      </c>
      <c r="K486" s="261">
        <v>0</v>
      </c>
      <c r="L486" s="261">
        <v>0</v>
      </c>
      <c r="M486" s="261"/>
      <c r="N486" s="261">
        <v>0</v>
      </c>
      <c r="O486" s="261">
        <v>557870</v>
      </c>
      <c r="P486" s="261"/>
      <c r="Q486" s="177">
        <f t="shared" si="229"/>
        <v>0</v>
      </c>
      <c r="R486" s="261"/>
      <c r="T486" s="185">
        <v>3050116</v>
      </c>
      <c r="U486" s="259" t="s">
        <v>1253</v>
      </c>
      <c r="V486" s="261">
        <v>0</v>
      </c>
      <c r="W486" s="261">
        <v>0</v>
      </c>
      <c r="X486" s="261">
        <v>0</v>
      </c>
      <c r="Y486" s="261">
        <v>557870</v>
      </c>
      <c r="Z486" s="261">
        <v>557870</v>
      </c>
      <c r="AA486" s="261">
        <v>0</v>
      </c>
      <c r="AB486" s="261">
        <v>557870</v>
      </c>
      <c r="AC486" s="261">
        <v>0</v>
      </c>
      <c r="AD486" s="261">
        <v>0</v>
      </c>
      <c r="AE486" s="261">
        <v>0</v>
      </c>
      <c r="AF486" s="261">
        <v>557870</v>
      </c>
      <c r="AG486" s="261">
        <v>0</v>
      </c>
      <c r="AH486" s="261">
        <v>557870</v>
      </c>
      <c r="AI486" s="261">
        <v>0</v>
      </c>
      <c r="AJ486" s="261">
        <v>0</v>
      </c>
      <c r="AK486" s="261">
        <v>0</v>
      </c>
      <c r="AL486" s="261">
        <v>0</v>
      </c>
      <c r="AM486" s="261">
        <v>557870</v>
      </c>
      <c r="AN486" s="261">
        <v>557870</v>
      </c>
      <c r="AO486" s="261">
        <v>0</v>
      </c>
      <c r="AP486" s="261">
        <v>0</v>
      </c>
      <c r="AQ486" s="261"/>
      <c r="AS486" s="261"/>
    </row>
    <row r="487" spans="1:45" x14ac:dyDescent="0.25">
      <c r="A487" s="185">
        <v>3050117</v>
      </c>
      <c r="B487" s="259" t="s">
        <v>1254</v>
      </c>
      <c r="C487" s="261"/>
      <c r="D487" s="261"/>
      <c r="E487" s="261"/>
      <c r="F487" s="261">
        <v>14153046</v>
      </c>
      <c r="G487" s="261">
        <f t="shared" si="238"/>
        <v>14153046</v>
      </c>
      <c r="H487" s="261">
        <v>550000</v>
      </c>
      <c r="I487" s="261">
        <v>550000</v>
      </c>
      <c r="J487" s="261">
        <f t="shared" si="228"/>
        <v>13603046</v>
      </c>
      <c r="K487" s="261">
        <v>550000</v>
      </c>
      <c r="L487" s="261">
        <v>550000</v>
      </c>
      <c r="M487" s="261"/>
      <c r="N487" s="261">
        <v>4153046</v>
      </c>
      <c r="O487" s="261">
        <v>14153046</v>
      </c>
      <c r="P487" s="261"/>
      <c r="Q487" s="177">
        <f t="shared" si="229"/>
        <v>0</v>
      </c>
      <c r="R487" s="261"/>
      <c r="T487" s="185">
        <v>3050117</v>
      </c>
      <c r="U487" s="259" t="s">
        <v>1254</v>
      </c>
      <c r="V487" s="261">
        <v>0</v>
      </c>
      <c r="W487" s="261">
        <v>0</v>
      </c>
      <c r="X487" s="261">
        <v>0</v>
      </c>
      <c r="Y487" s="261">
        <v>14153046</v>
      </c>
      <c r="Z487" s="261">
        <v>14153046</v>
      </c>
      <c r="AA487" s="261">
        <v>550000</v>
      </c>
      <c r="AB487" s="261">
        <v>550000</v>
      </c>
      <c r="AC487" s="261">
        <v>13603046</v>
      </c>
      <c r="AD487" s="261">
        <v>550000</v>
      </c>
      <c r="AE487" s="261">
        <v>550000</v>
      </c>
      <c r="AF487" s="261">
        <v>0</v>
      </c>
      <c r="AG487" s="261">
        <v>4153046</v>
      </c>
      <c r="AH487" s="261">
        <v>14153046</v>
      </c>
      <c r="AI487" s="261">
        <v>13603046</v>
      </c>
      <c r="AJ487" s="261">
        <v>0</v>
      </c>
      <c r="AK487" s="261">
        <v>0</v>
      </c>
      <c r="AL487" s="261">
        <v>4153046</v>
      </c>
      <c r="AM487" s="261">
        <v>14153046</v>
      </c>
      <c r="AN487" s="261">
        <v>14153046</v>
      </c>
      <c r="AO487" s="261">
        <v>13603046</v>
      </c>
      <c r="AP487" s="261">
        <v>0</v>
      </c>
      <c r="AQ487" s="261"/>
      <c r="AS487" s="261"/>
    </row>
    <row r="488" spans="1:45" x14ac:dyDescent="0.25">
      <c r="A488" s="185">
        <v>3050118</v>
      </c>
      <c r="B488" s="259" t="s">
        <v>1255</v>
      </c>
      <c r="C488" s="261"/>
      <c r="D488" s="261"/>
      <c r="E488" s="261"/>
      <c r="F488" s="261">
        <v>2500000</v>
      </c>
      <c r="G488" s="261">
        <f t="shared" si="238"/>
        <v>2500000</v>
      </c>
      <c r="H488" s="261">
        <v>0</v>
      </c>
      <c r="I488" s="261">
        <v>0</v>
      </c>
      <c r="J488" s="261">
        <f t="shared" si="228"/>
        <v>2500000</v>
      </c>
      <c r="K488" s="261">
        <v>0</v>
      </c>
      <c r="L488" s="261">
        <v>0</v>
      </c>
      <c r="M488" s="261"/>
      <c r="N488" s="261">
        <v>0</v>
      </c>
      <c r="O488" s="261">
        <v>0</v>
      </c>
      <c r="P488" s="261"/>
      <c r="Q488" s="177">
        <f t="shared" si="229"/>
        <v>2500000</v>
      </c>
      <c r="R488" s="261"/>
      <c r="T488" s="185">
        <v>3050118</v>
      </c>
      <c r="U488" s="259" t="s">
        <v>1255</v>
      </c>
      <c r="V488" s="261">
        <v>0</v>
      </c>
      <c r="W488" s="261">
        <v>0</v>
      </c>
      <c r="X488" s="261">
        <v>0</v>
      </c>
      <c r="Y488" s="261">
        <v>2500000</v>
      </c>
      <c r="Z488" s="261">
        <v>2500000</v>
      </c>
      <c r="AA488" s="261">
        <v>0</v>
      </c>
      <c r="AB488" s="261">
        <v>0</v>
      </c>
      <c r="AC488" s="261">
        <v>2500000</v>
      </c>
      <c r="AD488" s="261">
        <v>0</v>
      </c>
      <c r="AE488" s="261">
        <v>0</v>
      </c>
      <c r="AF488" s="261">
        <v>0</v>
      </c>
      <c r="AG488" s="261">
        <v>0</v>
      </c>
      <c r="AH488" s="261">
        <v>0</v>
      </c>
      <c r="AI488" s="261">
        <v>0</v>
      </c>
      <c r="AJ488" s="261">
        <v>2500000</v>
      </c>
      <c r="AK488" s="261">
        <v>0</v>
      </c>
      <c r="AL488" s="261">
        <v>0</v>
      </c>
      <c r="AM488" s="261">
        <v>0</v>
      </c>
      <c r="AN488" s="261">
        <v>0</v>
      </c>
      <c r="AO488" s="261">
        <v>0</v>
      </c>
      <c r="AP488" s="261">
        <v>2500000</v>
      </c>
      <c r="AQ488" s="261"/>
      <c r="AS488" s="261"/>
    </row>
    <row r="489" spans="1:45" x14ac:dyDescent="0.25">
      <c r="A489" s="185">
        <v>3050119</v>
      </c>
      <c r="B489" s="259" t="s">
        <v>1256</v>
      </c>
      <c r="C489" s="261"/>
      <c r="D489" s="261"/>
      <c r="E489" s="261"/>
      <c r="F489" s="261">
        <v>19454884</v>
      </c>
      <c r="G489" s="261">
        <f t="shared" si="238"/>
        <v>19454884</v>
      </c>
      <c r="H489" s="261">
        <v>0</v>
      </c>
      <c r="I489" s="261">
        <v>0</v>
      </c>
      <c r="J489" s="261">
        <f t="shared" si="228"/>
        <v>19454884</v>
      </c>
      <c r="K489" s="261">
        <v>0</v>
      </c>
      <c r="L489" s="261">
        <v>0</v>
      </c>
      <c r="M489" s="261"/>
      <c r="N489" s="261">
        <v>0</v>
      </c>
      <c r="O489" s="261">
        <v>0</v>
      </c>
      <c r="P489" s="261"/>
      <c r="Q489" s="177">
        <f t="shared" si="229"/>
        <v>19454884</v>
      </c>
      <c r="R489" s="261"/>
      <c r="T489" s="185">
        <v>3050119</v>
      </c>
      <c r="U489" s="259" t="s">
        <v>1256</v>
      </c>
      <c r="V489" s="261">
        <v>0</v>
      </c>
      <c r="W489" s="261">
        <v>0</v>
      </c>
      <c r="X489" s="261">
        <v>0</v>
      </c>
      <c r="Y489" s="261">
        <v>19454884</v>
      </c>
      <c r="Z489" s="261">
        <v>19454884</v>
      </c>
      <c r="AA489" s="261">
        <v>0</v>
      </c>
      <c r="AB489" s="261">
        <v>0</v>
      </c>
      <c r="AC489" s="261">
        <v>19454884</v>
      </c>
      <c r="AD489" s="261">
        <v>0</v>
      </c>
      <c r="AE489" s="261">
        <v>0</v>
      </c>
      <c r="AF489" s="261">
        <v>0</v>
      </c>
      <c r="AG489" s="261">
        <v>0</v>
      </c>
      <c r="AH489" s="261">
        <v>0</v>
      </c>
      <c r="AI489" s="261">
        <v>0</v>
      </c>
      <c r="AJ489" s="261">
        <v>19454884</v>
      </c>
      <c r="AK489" s="261">
        <v>0</v>
      </c>
      <c r="AL489" s="261">
        <v>0</v>
      </c>
      <c r="AM489" s="261">
        <v>0</v>
      </c>
      <c r="AN489" s="261">
        <v>0</v>
      </c>
      <c r="AO489" s="261">
        <v>0</v>
      </c>
      <c r="AP489" s="261">
        <v>19454884</v>
      </c>
      <c r="AQ489" s="261"/>
      <c r="AS489" s="261"/>
    </row>
    <row r="490" spans="1:45" x14ac:dyDescent="0.25">
      <c r="A490" s="185">
        <v>3050120</v>
      </c>
      <c r="B490" s="259" t="s">
        <v>1257</v>
      </c>
      <c r="C490" s="261"/>
      <c r="D490" s="261"/>
      <c r="E490" s="261"/>
      <c r="F490" s="261">
        <v>16588404</v>
      </c>
      <c r="G490" s="261">
        <f t="shared" si="238"/>
        <v>16588404</v>
      </c>
      <c r="H490" s="261">
        <v>0</v>
      </c>
      <c r="I490" s="261">
        <v>0</v>
      </c>
      <c r="J490" s="261">
        <f t="shared" si="228"/>
        <v>16588404</v>
      </c>
      <c r="K490" s="261">
        <v>0</v>
      </c>
      <c r="L490" s="261">
        <v>0</v>
      </c>
      <c r="M490" s="261"/>
      <c r="N490" s="261">
        <v>0</v>
      </c>
      <c r="O490" s="261">
        <v>0</v>
      </c>
      <c r="P490" s="261"/>
      <c r="Q490" s="177">
        <f t="shared" si="229"/>
        <v>16588404</v>
      </c>
      <c r="R490" s="261"/>
      <c r="T490" s="185">
        <v>3050120</v>
      </c>
      <c r="U490" s="259" t="s">
        <v>1257</v>
      </c>
      <c r="V490" s="261">
        <v>0</v>
      </c>
      <c r="W490" s="261">
        <v>0</v>
      </c>
      <c r="X490" s="261">
        <v>0</v>
      </c>
      <c r="Y490" s="261">
        <v>16588404</v>
      </c>
      <c r="Z490" s="261">
        <v>16588404</v>
      </c>
      <c r="AA490" s="261">
        <v>0</v>
      </c>
      <c r="AB490" s="261">
        <v>0</v>
      </c>
      <c r="AC490" s="261">
        <v>16588404</v>
      </c>
      <c r="AD490" s="261">
        <v>0</v>
      </c>
      <c r="AE490" s="261">
        <v>0</v>
      </c>
      <c r="AF490" s="261">
        <v>0</v>
      </c>
      <c r="AG490" s="261">
        <v>0</v>
      </c>
      <c r="AH490" s="261">
        <v>0</v>
      </c>
      <c r="AI490" s="261">
        <v>0</v>
      </c>
      <c r="AJ490" s="261">
        <v>16588404</v>
      </c>
      <c r="AK490" s="261">
        <v>0</v>
      </c>
      <c r="AL490" s="261">
        <v>0</v>
      </c>
      <c r="AM490" s="261">
        <v>0</v>
      </c>
      <c r="AN490" s="261">
        <v>0</v>
      </c>
      <c r="AO490" s="261">
        <v>0</v>
      </c>
      <c r="AP490" s="261">
        <v>16588404</v>
      </c>
      <c r="AQ490" s="261"/>
      <c r="AS490" s="261"/>
    </row>
    <row r="491" spans="1:45" x14ac:dyDescent="0.25">
      <c r="A491" s="185">
        <v>3050121</v>
      </c>
      <c r="B491" s="259" t="s">
        <v>1258</v>
      </c>
      <c r="C491" s="261"/>
      <c r="D491" s="261"/>
      <c r="E491" s="261"/>
      <c r="F491" s="261">
        <v>35827058.060000002</v>
      </c>
      <c r="G491" s="261">
        <f t="shared" si="238"/>
        <v>35827058.060000002</v>
      </c>
      <c r="H491" s="261">
        <v>0</v>
      </c>
      <c r="I491" s="261">
        <v>0</v>
      </c>
      <c r="J491" s="261">
        <f t="shared" si="228"/>
        <v>35827058.060000002</v>
      </c>
      <c r="K491" s="261">
        <v>0</v>
      </c>
      <c r="L491" s="261">
        <v>0</v>
      </c>
      <c r="M491" s="261"/>
      <c r="N491" s="261">
        <v>0</v>
      </c>
      <c r="O491" s="261">
        <v>28275417</v>
      </c>
      <c r="P491" s="261"/>
      <c r="Q491" s="177">
        <f t="shared" si="229"/>
        <v>7551641.0600000024</v>
      </c>
      <c r="R491" s="261"/>
      <c r="T491" s="185">
        <v>3050121</v>
      </c>
      <c r="U491" s="259" t="s">
        <v>1258</v>
      </c>
      <c r="V491" s="261">
        <v>0</v>
      </c>
      <c r="W491" s="261">
        <v>0</v>
      </c>
      <c r="X491" s="261">
        <v>0</v>
      </c>
      <c r="Y491" s="261">
        <v>35827058.060000002</v>
      </c>
      <c r="Z491" s="261">
        <v>35827058.060000002</v>
      </c>
      <c r="AA491" s="261">
        <v>0</v>
      </c>
      <c r="AB491" s="261">
        <v>0</v>
      </c>
      <c r="AC491" s="261">
        <v>35827058.060000002</v>
      </c>
      <c r="AD491" s="261">
        <v>0</v>
      </c>
      <c r="AE491" s="261">
        <v>0</v>
      </c>
      <c r="AF491" s="261">
        <v>0</v>
      </c>
      <c r="AG491" s="261">
        <v>0</v>
      </c>
      <c r="AH491" s="261">
        <v>28275417</v>
      </c>
      <c r="AI491" s="261">
        <v>28275417</v>
      </c>
      <c r="AJ491" s="261">
        <v>7551641.0600000024</v>
      </c>
      <c r="AK491" s="261">
        <v>0</v>
      </c>
      <c r="AL491" s="261">
        <v>0</v>
      </c>
      <c r="AM491" s="261">
        <v>28275417</v>
      </c>
      <c r="AN491" s="261">
        <v>28275417</v>
      </c>
      <c r="AO491" s="261">
        <v>28275417</v>
      </c>
      <c r="AP491" s="261">
        <v>7551641.0600000024</v>
      </c>
      <c r="AQ491" s="261"/>
      <c r="AS491" s="261"/>
    </row>
    <row r="492" spans="1:45" x14ac:dyDescent="0.25">
      <c r="A492" s="185">
        <v>3050122</v>
      </c>
      <c r="B492" s="259" t="s">
        <v>1259</v>
      </c>
      <c r="C492" s="261"/>
      <c r="D492" s="261"/>
      <c r="E492" s="261"/>
      <c r="F492" s="261">
        <v>7250276</v>
      </c>
      <c r="G492" s="261">
        <f t="shared" si="238"/>
        <v>7250276</v>
      </c>
      <c r="H492" s="261">
        <v>1020880</v>
      </c>
      <c r="I492" s="261">
        <v>1020880</v>
      </c>
      <c r="J492" s="261">
        <f t="shared" si="228"/>
        <v>6229396</v>
      </c>
      <c r="K492" s="261">
        <v>0</v>
      </c>
      <c r="L492" s="261">
        <v>0</v>
      </c>
      <c r="M492" s="261"/>
      <c r="N492" s="261">
        <v>1020880</v>
      </c>
      <c r="O492" s="261">
        <v>1020880</v>
      </c>
      <c r="P492" s="261"/>
      <c r="Q492" s="177">
        <f t="shared" si="229"/>
        <v>6229396</v>
      </c>
      <c r="R492" s="261"/>
      <c r="T492" s="185">
        <v>3050122</v>
      </c>
      <c r="U492" s="259" t="s">
        <v>1259</v>
      </c>
      <c r="V492" s="261">
        <v>0</v>
      </c>
      <c r="W492" s="261">
        <v>0</v>
      </c>
      <c r="X492" s="261">
        <v>0</v>
      </c>
      <c r="Y492" s="261">
        <v>7250276</v>
      </c>
      <c r="Z492" s="261">
        <v>7250276</v>
      </c>
      <c r="AA492" s="261">
        <v>1020880</v>
      </c>
      <c r="AB492" s="261">
        <v>1020880</v>
      </c>
      <c r="AC492" s="261">
        <v>6229396</v>
      </c>
      <c r="AD492" s="261">
        <v>0</v>
      </c>
      <c r="AE492" s="261">
        <v>0</v>
      </c>
      <c r="AF492" s="261">
        <v>1020880</v>
      </c>
      <c r="AG492" s="261">
        <v>1020880</v>
      </c>
      <c r="AH492" s="261">
        <v>1020880</v>
      </c>
      <c r="AI492" s="261">
        <v>0</v>
      </c>
      <c r="AJ492" s="261">
        <v>6229396</v>
      </c>
      <c r="AK492" s="261">
        <v>0</v>
      </c>
      <c r="AL492" s="261">
        <v>0</v>
      </c>
      <c r="AM492" s="261">
        <v>0</v>
      </c>
      <c r="AN492" s="261">
        <v>0</v>
      </c>
      <c r="AO492" s="261">
        <v>0</v>
      </c>
      <c r="AP492" s="261">
        <v>7250276</v>
      </c>
      <c r="AQ492" s="261"/>
      <c r="AS492" s="261"/>
    </row>
    <row r="493" spans="1:45" x14ac:dyDescent="0.25">
      <c r="A493" s="185">
        <v>3050123</v>
      </c>
      <c r="B493" s="259" t="s">
        <v>1260</v>
      </c>
      <c r="C493" s="261"/>
      <c r="D493" s="261"/>
      <c r="E493" s="261"/>
      <c r="F493" s="261">
        <v>11915926.75</v>
      </c>
      <c r="G493" s="261">
        <f t="shared" si="238"/>
        <v>11915926.75</v>
      </c>
      <c r="H493" s="261">
        <v>20880</v>
      </c>
      <c r="I493" s="261">
        <v>20880</v>
      </c>
      <c r="J493" s="261">
        <f t="shared" si="228"/>
        <v>11895046.75</v>
      </c>
      <c r="K493" s="261">
        <v>0</v>
      </c>
      <c r="L493" s="261">
        <v>0</v>
      </c>
      <c r="M493" s="261"/>
      <c r="N493" s="261">
        <v>1020880</v>
      </c>
      <c r="O493" s="261">
        <v>1020880</v>
      </c>
      <c r="P493" s="261"/>
      <c r="Q493" s="177">
        <f t="shared" si="229"/>
        <v>10895046.75</v>
      </c>
      <c r="R493" s="261"/>
      <c r="T493" s="185">
        <v>3050123</v>
      </c>
      <c r="U493" s="259" t="s">
        <v>1260</v>
      </c>
      <c r="V493" s="261">
        <v>0</v>
      </c>
      <c r="W493" s="261">
        <v>0</v>
      </c>
      <c r="X493" s="261">
        <v>0</v>
      </c>
      <c r="Y493" s="261">
        <v>11915926.75</v>
      </c>
      <c r="Z493" s="261">
        <v>11915926.75</v>
      </c>
      <c r="AA493" s="261">
        <v>20880</v>
      </c>
      <c r="AB493" s="261">
        <v>20880</v>
      </c>
      <c r="AC493" s="261">
        <v>11895046.75</v>
      </c>
      <c r="AD493" s="261">
        <v>0</v>
      </c>
      <c r="AE493" s="261">
        <v>0</v>
      </c>
      <c r="AF493" s="261">
        <v>20880</v>
      </c>
      <c r="AG493" s="261">
        <v>1020880</v>
      </c>
      <c r="AH493" s="261">
        <v>1020880</v>
      </c>
      <c r="AI493" s="261">
        <v>1000000</v>
      </c>
      <c r="AJ493" s="261">
        <v>10895046.75</v>
      </c>
      <c r="AK493" s="261">
        <v>0</v>
      </c>
      <c r="AL493" s="261">
        <v>0</v>
      </c>
      <c r="AM493" s="261">
        <v>0</v>
      </c>
      <c r="AN493" s="261">
        <v>0</v>
      </c>
      <c r="AO493" s="261">
        <v>0</v>
      </c>
      <c r="AP493" s="261">
        <v>11915926.75</v>
      </c>
      <c r="AQ493" s="261"/>
      <c r="AS493" s="261"/>
    </row>
    <row r="494" spans="1:45" x14ac:dyDescent="0.25">
      <c r="A494" s="185">
        <v>3050124</v>
      </c>
      <c r="B494" s="259" t="s">
        <v>1261</v>
      </c>
      <c r="C494" s="261"/>
      <c r="D494" s="261"/>
      <c r="E494" s="261"/>
      <c r="F494" s="261">
        <v>41553187</v>
      </c>
      <c r="G494" s="261">
        <f t="shared" si="238"/>
        <v>41553187</v>
      </c>
      <c r="H494" s="261">
        <v>0</v>
      </c>
      <c r="I494" s="261">
        <v>0</v>
      </c>
      <c r="J494" s="261">
        <f t="shared" si="228"/>
        <v>41553187</v>
      </c>
      <c r="K494" s="261">
        <v>0</v>
      </c>
      <c r="L494" s="261">
        <v>0</v>
      </c>
      <c r="M494" s="261"/>
      <c r="N494" s="261">
        <v>0</v>
      </c>
      <c r="O494" s="261">
        <v>0</v>
      </c>
      <c r="P494" s="261"/>
      <c r="Q494" s="177">
        <f t="shared" si="229"/>
        <v>41553187</v>
      </c>
      <c r="R494" s="261"/>
      <c r="T494" s="185">
        <v>3050124</v>
      </c>
      <c r="U494" s="259" t="s">
        <v>1261</v>
      </c>
      <c r="V494" s="261">
        <v>0</v>
      </c>
      <c r="W494" s="261">
        <v>0</v>
      </c>
      <c r="X494" s="261">
        <v>0</v>
      </c>
      <c r="Y494" s="261">
        <v>41553187</v>
      </c>
      <c r="Z494" s="261">
        <v>41553187</v>
      </c>
      <c r="AA494" s="261">
        <v>0</v>
      </c>
      <c r="AB494" s="261">
        <v>0</v>
      </c>
      <c r="AC494" s="261">
        <v>41553187</v>
      </c>
      <c r="AD494" s="261">
        <v>0</v>
      </c>
      <c r="AE494" s="261">
        <v>0</v>
      </c>
      <c r="AF494" s="261">
        <v>0</v>
      </c>
      <c r="AG494" s="261">
        <v>0</v>
      </c>
      <c r="AH494" s="261">
        <v>0</v>
      </c>
      <c r="AI494" s="261">
        <v>0</v>
      </c>
      <c r="AJ494" s="261">
        <v>41553187</v>
      </c>
      <c r="AK494" s="261">
        <v>0</v>
      </c>
      <c r="AL494" s="261">
        <v>0</v>
      </c>
      <c r="AM494" s="261">
        <v>0</v>
      </c>
      <c r="AN494" s="261">
        <v>0</v>
      </c>
      <c r="AO494" s="261">
        <v>0</v>
      </c>
      <c r="AP494" s="261">
        <v>41553187</v>
      </c>
      <c r="AQ494" s="261"/>
      <c r="AS494" s="261"/>
    </row>
    <row r="495" spans="1:45" x14ac:dyDescent="0.25">
      <c r="A495" s="185">
        <v>3050125</v>
      </c>
      <c r="B495" s="259" t="s">
        <v>1262</v>
      </c>
      <c r="C495" s="262"/>
      <c r="D495" s="261"/>
      <c r="E495" s="261"/>
      <c r="F495" s="261">
        <v>29462641.07</v>
      </c>
      <c r="G495" s="261">
        <f t="shared" si="238"/>
        <v>29462641.07</v>
      </c>
      <c r="H495" s="261">
        <v>0</v>
      </c>
      <c r="I495" s="261">
        <v>0</v>
      </c>
      <c r="J495" s="261">
        <f t="shared" si="228"/>
        <v>29462641.07</v>
      </c>
      <c r="K495" s="261">
        <v>0</v>
      </c>
      <c r="L495" s="261">
        <v>0</v>
      </c>
      <c r="M495" s="261"/>
      <c r="N495" s="261">
        <v>9263599</v>
      </c>
      <c r="O495" s="261">
        <v>29462641.07</v>
      </c>
      <c r="P495" s="261"/>
      <c r="Q495" s="177">
        <f t="shared" si="229"/>
        <v>0</v>
      </c>
      <c r="R495" s="261"/>
      <c r="T495" s="185">
        <v>3050125</v>
      </c>
      <c r="U495" s="259" t="s">
        <v>1262</v>
      </c>
      <c r="V495" s="261">
        <v>0</v>
      </c>
      <c r="W495" s="261">
        <v>0</v>
      </c>
      <c r="X495" s="261">
        <v>0</v>
      </c>
      <c r="Y495" s="261">
        <v>29462641.07</v>
      </c>
      <c r="Z495" s="261">
        <v>29462641.07</v>
      </c>
      <c r="AA495" s="261">
        <v>0</v>
      </c>
      <c r="AB495" s="261">
        <v>0</v>
      </c>
      <c r="AC495" s="261">
        <v>29462641.07</v>
      </c>
      <c r="AD495" s="261">
        <v>0</v>
      </c>
      <c r="AE495" s="261">
        <v>0</v>
      </c>
      <c r="AF495" s="261">
        <v>0</v>
      </c>
      <c r="AG495" s="261">
        <v>9263599</v>
      </c>
      <c r="AH495" s="261">
        <v>29462641.07</v>
      </c>
      <c r="AI495" s="261">
        <v>29462641.07</v>
      </c>
      <c r="AJ495" s="261">
        <v>0</v>
      </c>
      <c r="AK495" s="261">
        <v>0</v>
      </c>
      <c r="AL495" s="261">
        <v>9263599</v>
      </c>
      <c r="AM495" s="261">
        <v>29462641.07</v>
      </c>
      <c r="AN495" s="261">
        <v>29462641.07</v>
      </c>
      <c r="AO495" s="261">
        <v>29462641.07</v>
      </c>
      <c r="AP495" s="261">
        <v>0</v>
      </c>
      <c r="AQ495" s="261"/>
      <c r="AS495" s="261"/>
    </row>
    <row r="496" spans="1:45" x14ac:dyDescent="0.25">
      <c r="A496" s="185">
        <v>3050126</v>
      </c>
      <c r="B496" s="259" t="s">
        <v>1263</v>
      </c>
      <c r="C496" s="261"/>
      <c r="D496" s="261"/>
      <c r="E496" s="261"/>
      <c r="F496" s="261">
        <v>397941</v>
      </c>
      <c r="G496" s="261">
        <f t="shared" si="238"/>
        <v>397941</v>
      </c>
      <c r="H496" s="261">
        <v>0</v>
      </c>
      <c r="I496" s="261">
        <v>0</v>
      </c>
      <c r="J496" s="261">
        <f t="shared" si="228"/>
        <v>397941</v>
      </c>
      <c r="K496" s="261">
        <v>0</v>
      </c>
      <c r="L496" s="261">
        <v>0</v>
      </c>
      <c r="M496" s="261"/>
      <c r="N496" s="261">
        <v>397941</v>
      </c>
      <c r="O496" s="261">
        <v>397941</v>
      </c>
      <c r="P496" s="261"/>
      <c r="Q496" s="177">
        <f t="shared" si="229"/>
        <v>0</v>
      </c>
      <c r="R496" s="261"/>
      <c r="T496" s="185">
        <v>3050126</v>
      </c>
      <c r="U496" s="259" t="s">
        <v>1263</v>
      </c>
      <c r="V496" s="261">
        <v>0</v>
      </c>
      <c r="W496" s="261">
        <v>0</v>
      </c>
      <c r="X496" s="261">
        <v>0</v>
      </c>
      <c r="Y496" s="261">
        <v>397941</v>
      </c>
      <c r="Z496" s="261">
        <v>397941</v>
      </c>
      <c r="AA496" s="261">
        <v>0</v>
      </c>
      <c r="AB496" s="261">
        <v>0</v>
      </c>
      <c r="AC496" s="261">
        <v>397941</v>
      </c>
      <c r="AD496" s="261">
        <v>0</v>
      </c>
      <c r="AE496" s="261">
        <v>0</v>
      </c>
      <c r="AF496" s="261">
        <v>0</v>
      </c>
      <c r="AG496" s="261">
        <v>397941</v>
      </c>
      <c r="AH496" s="261">
        <v>397941</v>
      </c>
      <c r="AI496" s="261">
        <v>397941</v>
      </c>
      <c r="AJ496" s="261">
        <v>0</v>
      </c>
      <c r="AK496" s="261">
        <v>0</v>
      </c>
      <c r="AL496" s="261">
        <v>397941</v>
      </c>
      <c r="AM496" s="261">
        <v>397941</v>
      </c>
      <c r="AN496" s="261">
        <v>397941</v>
      </c>
      <c r="AO496" s="261">
        <v>397941</v>
      </c>
      <c r="AP496" s="261">
        <v>0</v>
      </c>
      <c r="AQ496" s="261"/>
      <c r="AS496" s="261"/>
    </row>
    <row r="497" spans="1:45" x14ac:dyDescent="0.25">
      <c r="A497" s="185">
        <v>3050127</v>
      </c>
      <c r="B497" s="259" t="s">
        <v>1264</v>
      </c>
      <c r="C497" s="262"/>
      <c r="D497" s="261"/>
      <c r="E497" s="261"/>
      <c r="F497" s="261">
        <v>282815</v>
      </c>
      <c r="G497" s="261">
        <f t="shared" si="238"/>
        <v>282815</v>
      </c>
      <c r="H497" s="261">
        <v>0</v>
      </c>
      <c r="I497" s="261">
        <v>0</v>
      </c>
      <c r="J497" s="261">
        <f t="shared" si="228"/>
        <v>282815</v>
      </c>
      <c r="K497" s="261">
        <v>0</v>
      </c>
      <c r="L497" s="261">
        <v>0</v>
      </c>
      <c r="M497" s="261"/>
      <c r="N497" s="261">
        <v>0</v>
      </c>
      <c r="O497" s="261">
        <v>282815</v>
      </c>
      <c r="P497" s="261"/>
      <c r="Q497" s="177">
        <f t="shared" si="229"/>
        <v>0</v>
      </c>
      <c r="R497" s="261"/>
      <c r="T497" s="185">
        <v>3050127</v>
      </c>
      <c r="U497" s="259" t="s">
        <v>1264</v>
      </c>
      <c r="V497" s="261">
        <v>0</v>
      </c>
      <c r="W497" s="261">
        <v>0</v>
      </c>
      <c r="X497" s="261">
        <v>0</v>
      </c>
      <c r="Y497" s="261">
        <v>282815</v>
      </c>
      <c r="Z497" s="261">
        <v>282815</v>
      </c>
      <c r="AA497" s="261">
        <v>0</v>
      </c>
      <c r="AB497" s="261">
        <v>0</v>
      </c>
      <c r="AC497" s="261">
        <v>282815</v>
      </c>
      <c r="AD497" s="261">
        <v>0</v>
      </c>
      <c r="AE497" s="261">
        <v>0</v>
      </c>
      <c r="AF497" s="261">
        <v>0</v>
      </c>
      <c r="AG497" s="261">
        <v>0</v>
      </c>
      <c r="AH497" s="261">
        <v>282815</v>
      </c>
      <c r="AI497" s="261">
        <v>282815</v>
      </c>
      <c r="AJ497" s="261">
        <v>0</v>
      </c>
      <c r="AK497" s="261">
        <v>0</v>
      </c>
      <c r="AL497" s="261">
        <v>0</v>
      </c>
      <c r="AM497" s="261">
        <v>282815</v>
      </c>
      <c r="AN497" s="261">
        <v>282815</v>
      </c>
      <c r="AO497" s="261">
        <v>282815</v>
      </c>
      <c r="AP497" s="261">
        <v>0</v>
      </c>
      <c r="AQ497" s="261"/>
      <c r="AS497" s="261"/>
    </row>
    <row r="498" spans="1:45" x14ac:dyDescent="0.25">
      <c r="A498" s="185">
        <v>3050128</v>
      </c>
      <c r="B498" s="259" t="s">
        <v>1265</v>
      </c>
      <c r="C498" s="261"/>
      <c r="D498" s="261"/>
      <c r="E498" s="261"/>
      <c r="F498" s="261">
        <v>266469</v>
      </c>
      <c r="G498" s="261">
        <f t="shared" si="238"/>
        <v>266469</v>
      </c>
      <c r="H498" s="261">
        <v>0</v>
      </c>
      <c r="I498" s="261">
        <v>0</v>
      </c>
      <c r="J498" s="261">
        <f t="shared" si="228"/>
        <v>266469</v>
      </c>
      <c r="K498" s="261">
        <v>0</v>
      </c>
      <c r="L498" s="261">
        <v>0</v>
      </c>
      <c r="M498" s="261"/>
      <c r="N498" s="261">
        <v>266469</v>
      </c>
      <c r="O498" s="261">
        <v>266469</v>
      </c>
      <c r="P498" s="261"/>
      <c r="Q498" s="177">
        <f t="shared" si="229"/>
        <v>0</v>
      </c>
      <c r="R498" s="261"/>
      <c r="T498" s="185">
        <v>3050128</v>
      </c>
      <c r="U498" s="259" t="s">
        <v>1265</v>
      </c>
      <c r="V498" s="261">
        <v>0</v>
      </c>
      <c r="W498" s="261">
        <v>0</v>
      </c>
      <c r="X498" s="261">
        <v>0</v>
      </c>
      <c r="Y498" s="261">
        <v>266469</v>
      </c>
      <c r="Z498" s="261">
        <v>266469</v>
      </c>
      <c r="AA498" s="261">
        <v>0</v>
      </c>
      <c r="AB498" s="261">
        <v>0</v>
      </c>
      <c r="AC498" s="261">
        <v>266469</v>
      </c>
      <c r="AD498" s="261">
        <v>0</v>
      </c>
      <c r="AE498" s="261">
        <v>0</v>
      </c>
      <c r="AF498" s="261">
        <v>0</v>
      </c>
      <c r="AG498" s="261">
        <v>266469</v>
      </c>
      <c r="AH498" s="261">
        <v>266469</v>
      </c>
      <c r="AI498" s="261">
        <v>266469</v>
      </c>
      <c r="AJ498" s="261">
        <v>0</v>
      </c>
      <c r="AK498" s="261">
        <v>0</v>
      </c>
      <c r="AL498" s="261">
        <v>266469</v>
      </c>
      <c r="AM498" s="261">
        <v>266469</v>
      </c>
      <c r="AN498" s="261">
        <v>266469</v>
      </c>
      <c r="AO498" s="261">
        <v>266469</v>
      </c>
      <c r="AP498" s="261">
        <v>0</v>
      </c>
      <c r="AQ498" s="261"/>
      <c r="AS498" s="261"/>
    </row>
    <row r="499" spans="1:45" x14ac:dyDescent="0.25">
      <c r="A499" s="185">
        <v>3050129</v>
      </c>
      <c r="B499" s="259" t="s">
        <v>1266</v>
      </c>
      <c r="C499" s="261"/>
      <c r="D499" s="261"/>
      <c r="E499" s="261"/>
      <c r="F499" s="261">
        <v>3691380</v>
      </c>
      <c r="G499" s="261">
        <f t="shared" si="238"/>
        <v>3691380</v>
      </c>
      <c r="H499" s="261">
        <v>0</v>
      </c>
      <c r="I499" s="261">
        <v>0</v>
      </c>
      <c r="J499" s="261">
        <f t="shared" si="228"/>
        <v>3691380</v>
      </c>
      <c r="K499" s="261">
        <v>0</v>
      </c>
      <c r="L499" s="261">
        <v>0</v>
      </c>
      <c r="M499" s="261"/>
      <c r="N499" s="261">
        <v>0</v>
      </c>
      <c r="O499" s="261">
        <v>0</v>
      </c>
      <c r="P499" s="261"/>
      <c r="Q499" s="177">
        <f t="shared" si="229"/>
        <v>3691380</v>
      </c>
      <c r="R499" s="261"/>
      <c r="T499" s="185">
        <v>3050129</v>
      </c>
      <c r="U499" s="259" t="s">
        <v>1266</v>
      </c>
      <c r="V499" s="261">
        <v>0</v>
      </c>
      <c r="W499" s="261">
        <v>0</v>
      </c>
      <c r="X499" s="261">
        <v>0</v>
      </c>
      <c r="Y499" s="261">
        <v>3691380</v>
      </c>
      <c r="Z499" s="261">
        <v>3691380</v>
      </c>
      <c r="AA499" s="261">
        <v>0</v>
      </c>
      <c r="AB499" s="261">
        <v>0</v>
      </c>
      <c r="AC499" s="261">
        <v>3691380</v>
      </c>
      <c r="AD499" s="261">
        <v>0</v>
      </c>
      <c r="AE499" s="261">
        <v>0</v>
      </c>
      <c r="AF499" s="261">
        <v>0</v>
      </c>
      <c r="AG499" s="261">
        <v>0</v>
      </c>
      <c r="AH499" s="261">
        <v>0</v>
      </c>
      <c r="AI499" s="261">
        <v>0</v>
      </c>
      <c r="AJ499" s="261">
        <v>3691380</v>
      </c>
      <c r="AK499" s="261">
        <v>0</v>
      </c>
      <c r="AL499" s="261">
        <v>0</v>
      </c>
      <c r="AM499" s="261">
        <v>0</v>
      </c>
      <c r="AN499" s="261">
        <v>0</v>
      </c>
      <c r="AO499" s="261">
        <v>0</v>
      </c>
      <c r="AP499" s="261">
        <v>3691380</v>
      </c>
      <c r="AQ499" s="261"/>
      <c r="AS499" s="261"/>
    </row>
    <row r="500" spans="1:45" x14ac:dyDescent="0.25">
      <c r="A500" s="185">
        <v>3050130</v>
      </c>
      <c r="B500" s="259" t="s">
        <v>1267</v>
      </c>
      <c r="C500" s="261"/>
      <c r="D500" s="261"/>
      <c r="E500" s="261"/>
      <c r="F500" s="261">
        <v>68524796.159999996</v>
      </c>
      <c r="G500" s="261">
        <f t="shared" si="238"/>
        <v>68524796.159999996</v>
      </c>
      <c r="H500" s="261">
        <v>0</v>
      </c>
      <c r="I500" s="261">
        <v>57730350.799999997</v>
      </c>
      <c r="J500" s="261">
        <f t="shared" si="228"/>
        <v>10794445.359999999</v>
      </c>
      <c r="K500" s="261">
        <v>0</v>
      </c>
      <c r="L500" s="261">
        <v>0</v>
      </c>
      <c r="M500" s="261"/>
      <c r="N500" s="261">
        <v>0</v>
      </c>
      <c r="O500" s="261">
        <v>68524796.159999996</v>
      </c>
      <c r="P500" s="261"/>
      <c r="Q500" s="177">
        <f t="shared" si="229"/>
        <v>0</v>
      </c>
      <c r="R500" s="261"/>
      <c r="T500" s="185">
        <v>3050130</v>
      </c>
      <c r="U500" s="259" t="s">
        <v>1267</v>
      </c>
      <c r="V500" s="261">
        <v>0</v>
      </c>
      <c r="W500" s="261">
        <v>0</v>
      </c>
      <c r="X500" s="261">
        <v>0</v>
      </c>
      <c r="Y500" s="261">
        <v>68524796.159999996</v>
      </c>
      <c r="Z500" s="261">
        <v>68524796.159999996</v>
      </c>
      <c r="AA500" s="261">
        <v>0</v>
      </c>
      <c r="AB500" s="261">
        <v>57730350.799999997</v>
      </c>
      <c r="AC500" s="261">
        <v>10794445.359999999</v>
      </c>
      <c r="AD500" s="261">
        <v>0</v>
      </c>
      <c r="AE500" s="261">
        <v>0</v>
      </c>
      <c r="AF500" s="261">
        <v>57730350.799999997</v>
      </c>
      <c r="AG500" s="261">
        <v>0</v>
      </c>
      <c r="AH500" s="261">
        <v>68524796.159999996</v>
      </c>
      <c r="AI500" s="261">
        <v>10794445.359999999</v>
      </c>
      <c r="AJ500" s="261">
        <v>0</v>
      </c>
      <c r="AK500" s="261">
        <v>0</v>
      </c>
      <c r="AL500" s="261">
        <v>0</v>
      </c>
      <c r="AM500" s="261">
        <v>68524796.159999996</v>
      </c>
      <c r="AN500" s="261">
        <v>68524796.159999996</v>
      </c>
      <c r="AO500" s="261">
        <v>10794445.359999999</v>
      </c>
      <c r="AP500" s="261">
        <v>0</v>
      </c>
      <c r="AQ500" s="261"/>
      <c r="AS500" s="261"/>
    </row>
    <row r="501" spans="1:45" x14ac:dyDescent="0.25">
      <c r="A501" s="185">
        <v>3050131</v>
      </c>
      <c r="B501" s="259" t="s">
        <v>1268</v>
      </c>
      <c r="C501" s="262"/>
      <c r="D501" s="261"/>
      <c r="E501" s="261"/>
      <c r="F501" s="261">
        <v>80642360.590000004</v>
      </c>
      <c r="G501" s="261">
        <f t="shared" si="238"/>
        <v>80642360.590000004</v>
      </c>
      <c r="H501" s="261">
        <v>80347015</v>
      </c>
      <c r="I501" s="261">
        <v>80347015</v>
      </c>
      <c r="J501" s="261">
        <f t="shared" si="228"/>
        <v>295345.59000000358</v>
      </c>
      <c r="K501" s="261">
        <v>0</v>
      </c>
      <c r="L501" s="261">
        <v>0</v>
      </c>
      <c r="M501" s="261"/>
      <c r="N501" s="261">
        <v>0</v>
      </c>
      <c r="O501" s="261">
        <v>80642360.590000004</v>
      </c>
      <c r="P501" s="261"/>
      <c r="Q501" s="177">
        <f t="shared" si="229"/>
        <v>0</v>
      </c>
      <c r="R501" s="261"/>
      <c r="T501" s="185">
        <v>3050131</v>
      </c>
      <c r="U501" s="259" t="s">
        <v>1268</v>
      </c>
      <c r="V501" s="261">
        <v>0</v>
      </c>
      <c r="W501" s="261">
        <v>0</v>
      </c>
      <c r="X501" s="261">
        <v>0</v>
      </c>
      <c r="Y501" s="261">
        <v>80642360.590000004</v>
      </c>
      <c r="Z501" s="261">
        <v>80642360.590000004</v>
      </c>
      <c r="AA501" s="261">
        <v>80347015</v>
      </c>
      <c r="AB501" s="261">
        <v>80347015</v>
      </c>
      <c r="AC501" s="261">
        <v>295345.59000000358</v>
      </c>
      <c r="AD501" s="261">
        <v>0</v>
      </c>
      <c r="AE501" s="261">
        <v>0</v>
      </c>
      <c r="AF501" s="261">
        <v>80347015</v>
      </c>
      <c r="AG501" s="261">
        <v>0</v>
      </c>
      <c r="AH501" s="261">
        <v>80642360.590000004</v>
      </c>
      <c r="AI501" s="261">
        <v>295345.59000000358</v>
      </c>
      <c r="AJ501" s="261">
        <v>0</v>
      </c>
      <c r="AK501" s="261">
        <v>0</v>
      </c>
      <c r="AL501" s="261">
        <v>0</v>
      </c>
      <c r="AM501" s="261">
        <v>80642360.590000004</v>
      </c>
      <c r="AN501" s="261">
        <v>80642360.590000004</v>
      </c>
      <c r="AO501" s="261">
        <v>80642360.590000004</v>
      </c>
      <c r="AP501" s="261">
        <v>0</v>
      </c>
      <c r="AQ501" s="261"/>
      <c r="AS501" s="261"/>
    </row>
    <row r="502" spans="1:45" x14ac:dyDescent="0.25">
      <c r="A502" s="185">
        <v>3050132</v>
      </c>
      <c r="B502" s="259" t="s">
        <v>1269</v>
      </c>
      <c r="C502" s="262"/>
      <c r="D502" s="261"/>
      <c r="E502" s="261"/>
      <c r="F502" s="261">
        <v>1200014.75</v>
      </c>
      <c r="G502" s="261">
        <f t="shared" si="238"/>
        <v>1200014.75</v>
      </c>
      <c r="H502" s="261">
        <v>0</v>
      </c>
      <c r="I502" s="261">
        <v>0</v>
      </c>
      <c r="J502" s="261">
        <f t="shared" si="228"/>
        <v>1200014.75</v>
      </c>
      <c r="K502" s="261">
        <v>0</v>
      </c>
      <c r="L502" s="261">
        <v>0</v>
      </c>
      <c r="M502" s="261"/>
      <c r="N502" s="261">
        <v>0</v>
      </c>
      <c r="O502" s="261">
        <v>1200014.75</v>
      </c>
      <c r="P502" s="261"/>
      <c r="Q502" s="177">
        <f t="shared" si="229"/>
        <v>0</v>
      </c>
      <c r="R502" s="261"/>
      <c r="T502" s="185">
        <v>3050132</v>
      </c>
      <c r="U502" s="259" t="s">
        <v>1269</v>
      </c>
      <c r="V502" s="261">
        <v>0</v>
      </c>
      <c r="W502" s="261">
        <v>0</v>
      </c>
      <c r="X502" s="261">
        <v>0</v>
      </c>
      <c r="Y502" s="261">
        <v>1200014.75</v>
      </c>
      <c r="Z502" s="261">
        <v>1200014.75</v>
      </c>
      <c r="AA502" s="261">
        <v>0</v>
      </c>
      <c r="AB502" s="261">
        <v>0</v>
      </c>
      <c r="AC502" s="261">
        <v>1200014.75</v>
      </c>
      <c r="AD502" s="261">
        <v>0</v>
      </c>
      <c r="AE502" s="261">
        <v>0</v>
      </c>
      <c r="AF502" s="261">
        <v>0</v>
      </c>
      <c r="AG502" s="261">
        <v>0</v>
      </c>
      <c r="AH502" s="261">
        <v>1200014.75</v>
      </c>
      <c r="AI502" s="261">
        <v>1200014.75</v>
      </c>
      <c r="AJ502" s="261">
        <v>0</v>
      </c>
      <c r="AK502" s="261">
        <v>0</v>
      </c>
      <c r="AL502" s="261">
        <v>0</v>
      </c>
      <c r="AM502" s="261">
        <v>1200014.75</v>
      </c>
      <c r="AN502" s="261">
        <v>1200014.75</v>
      </c>
      <c r="AO502" s="261">
        <v>1200014.75</v>
      </c>
      <c r="AP502" s="261">
        <v>0</v>
      </c>
      <c r="AQ502" s="261"/>
      <c r="AS502" s="261"/>
    </row>
    <row r="503" spans="1:45" x14ac:dyDescent="0.25">
      <c r="A503" s="185">
        <v>3050133</v>
      </c>
      <c r="B503" s="259" t="s">
        <v>1270</v>
      </c>
      <c r="C503" s="261"/>
      <c r="D503" s="261"/>
      <c r="E503" s="261"/>
      <c r="F503" s="261">
        <v>34895717</v>
      </c>
      <c r="G503" s="261">
        <f t="shared" si="238"/>
        <v>34895717</v>
      </c>
      <c r="H503" s="261">
        <v>0</v>
      </c>
      <c r="I503" s="261">
        <v>34895717</v>
      </c>
      <c r="J503" s="261">
        <f t="shared" si="228"/>
        <v>0</v>
      </c>
      <c r="K503" s="261">
        <v>0</v>
      </c>
      <c r="L503" s="261">
        <v>0</v>
      </c>
      <c r="M503" s="261"/>
      <c r="N503" s="261">
        <v>0</v>
      </c>
      <c r="O503" s="261">
        <v>34895717</v>
      </c>
      <c r="P503" s="261"/>
      <c r="Q503" s="177">
        <f t="shared" si="229"/>
        <v>0</v>
      </c>
      <c r="R503" s="261"/>
      <c r="T503" s="185">
        <v>3050133</v>
      </c>
      <c r="U503" s="259" t="s">
        <v>1270</v>
      </c>
      <c r="V503" s="261">
        <v>0</v>
      </c>
      <c r="W503" s="261">
        <v>0</v>
      </c>
      <c r="X503" s="261">
        <v>0</v>
      </c>
      <c r="Y503" s="261">
        <v>34895717</v>
      </c>
      <c r="Z503" s="261">
        <v>34895717</v>
      </c>
      <c r="AA503" s="261">
        <v>0</v>
      </c>
      <c r="AB503" s="261">
        <v>34895717</v>
      </c>
      <c r="AC503" s="261">
        <v>0</v>
      </c>
      <c r="AD503" s="261">
        <v>0</v>
      </c>
      <c r="AE503" s="261">
        <v>0</v>
      </c>
      <c r="AF503" s="261">
        <v>34895717</v>
      </c>
      <c r="AG503" s="261">
        <v>0</v>
      </c>
      <c r="AH503" s="261">
        <v>34895717</v>
      </c>
      <c r="AI503" s="261">
        <v>0</v>
      </c>
      <c r="AJ503" s="261">
        <v>0</v>
      </c>
      <c r="AK503" s="261">
        <v>0</v>
      </c>
      <c r="AL503" s="261">
        <v>0</v>
      </c>
      <c r="AM503" s="261">
        <v>34895717</v>
      </c>
      <c r="AN503" s="261">
        <v>34895717</v>
      </c>
      <c r="AO503" s="261">
        <v>0</v>
      </c>
      <c r="AP503" s="261">
        <v>0</v>
      </c>
      <c r="AQ503" s="261"/>
      <c r="AS503" s="261"/>
    </row>
    <row r="504" spans="1:45" x14ac:dyDescent="0.25">
      <c r="A504" s="185">
        <v>3050134</v>
      </c>
      <c r="B504" s="259" t="s">
        <v>1271</v>
      </c>
      <c r="C504" s="261"/>
      <c r="D504" s="261"/>
      <c r="E504" s="261"/>
      <c r="F504" s="261">
        <v>33144637</v>
      </c>
      <c r="G504" s="261">
        <f t="shared" si="238"/>
        <v>33144637</v>
      </c>
      <c r="H504" s="261">
        <v>0</v>
      </c>
      <c r="I504" s="261">
        <v>0</v>
      </c>
      <c r="J504" s="261">
        <f t="shared" si="228"/>
        <v>33144637</v>
      </c>
      <c r="K504" s="261">
        <v>0</v>
      </c>
      <c r="L504" s="261">
        <v>0</v>
      </c>
      <c r="M504" s="261"/>
      <c r="N504" s="261">
        <v>0</v>
      </c>
      <c r="O504" s="261">
        <v>0</v>
      </c>
      <c r="P504" s="261"/>
      <c r="Q504" s="177">
        <f t="shared" si="229"/>
        <v>33144637</v>
      </c>
      <c r="R504" s="261"/>
      <c r="T504" s="185">
        <v>3050134</v>
      </c>
      <c r="U504" s="259" t="s">
        <v>1271</v>
      </c>
      <c r="V504" s="261">
        <v>0</v>
      </c>
      <c r="W504" s="261">
        <v>0</v>
      </c>
      <c r="X504" s="261">
        <v>0</v>
      </c>
      <c r="Y504" s="261">
        <v>33144637</v>
      </c>
      <c r="Z504" s="261">
        <v>33144637</v>
      </c>
      <c r="AA504" s="261">
        <v>0</v>
      </c>
      <c r="AB504" s="261">
        <v>0</v>
      </c>
      <c r="AC504" s="261">
        <v>33144637</v>
      </c>
      <c r="AD504" s="261">
        <v>0</v>
      </c>
      <c r="AE504" s="261">
        <v>0</v>
      </c>
      <c r="AF504" s="261">
        <v>0</v>
      </c>
      <c r="AG504" s="261">
        <v>0</v>
      </c>
      <c r="AH504" s="261">
        <v>0</v>
      </c>
      <c r="AI504" s="261">
        <v>0</v>
      </c>
      <c r="AJ504" s="261">
        <v>33144637</v>
      </c>
      <c r="AK504" s="261">
        <v>0</v>
      </c>
      <c r="AL504" s="261">
        <v>0</v>
      </c>
      <c r="AM504" s="261">
        <v>0</v>
      </c>
      <c r="AN504" s="261">
        <v>0</v>
      </c>
      <c r="AO504" s="261">
        <v>0</v>
      </c>
      <c r="AP504" s="261">
        <v>33144637</v>
      </c>
      <c r="AQ504" s="261"/>
      <c r="AS504" s="261"/>
    </row>
    <row r="505" spans="1:45" x14ac:dyDescent="0.25">
      <c r="A505" s="185">
        <v>3050135</v>
      </c>
      <c r="B505" s="259" t="s">
        <v>1272</v>
      </c>
      <c r="C505" s="261"/>
      <c r="D505" s="261"/>
      <c r="E505" s="261"/>
      <c r="F505" s="261">
        <v>29292677</v>
      </c>
      <c r="G505" s="261">
        <f t="shared" si="238"/>
        <v>29292677</v>
      </c>
      <c r="H505" s="261">
        <v>0</v>
      </c>
      <c r="I505" s="261">
        <v>0</v>
      </c>
      <c r="J505" s="261">
        <f t="shared" si="228"/>
        <v>29292677</v>
      </c>
      <c r="K505" s="261">
        <v>0</v>
      </c>
      <c r="L505" s="261">
        <v>0</v>
      </c>
      <c r="M505" s="261"/>
      <c r="N505" s="261">
        <v>0</v>
      </c>
      <c r="O505" s="261">
        <v>0</v>
      </c>
      <c r="P505" s="261"/>
      <c r="Q505" s="177">
        <f t="shared" si="229"/>
        <v>29292677</v>
      </c>
      <c r="R505" s="261"/>
      <c r="T505" s="185">
        <v>3050135</v>
      </c>
      <c r="U505" s="259" t="s">
        <v>1272</v>
      </c>
      <c r="V505" s="261">
        <v>0</v>
      </c>
      <c r="W505" s="261">
        <v>0</v>
      </c>
      <c r="X505" s="261">
        <v>0</v>
      </c>
      <c r="Y505" s="261">
        <v>29292677</v>
      </c>
      <c r="Z505" s="261">
        <v>29292677</v>
      </c>
      <c r="AA505" s="261">
        <v>0</v>
      </c>
      <c r="AB505" s="261">
        <v>0</v>
      </c>
      <c r="AC505" s="261">
        <v>29292677</v>
      </c>
      <c r="AD505" s="261">
        <v>0</v>
      </c>
      <c r="AE505" s="261">
        <v>0</v>
      </c>
      <c r="AF505" s="261">
        <v>0</v>
      </c>
      <c r="AG505" s="261">
        <v>0</v>
      </c>
      <c r="AH505" s="261">
        <v>0</v>
      </c>
      <c r="AI505" s="261">
        <v>0</v>
      </c>
      <c r="AJ505" s="261">
        <v>29292677</v>
      </c>
      <c r="AK505" s="261">
        <v>0</v>
      </c>
      <c r="AL505" s="261">
        <v>0</v>
      </c>
      <c r="AM505" s="261">
        <v>0</v>
      </c>
      <c r="AN505" s="261">
        <v>0</v>
      </c>
      <c r="AO505" s="261">
        <v>0</v>
      </c>
      <c r="AP505" s="261">
        <v>29292677</v>
      </c>
      <c r="AQ505" s="261"/>
      <c r="AS505" s="261"/>
    </row>
    <row r="506" spans="1:45" x14ac:dyDescent="0.25">
      <c r="A506" s="185">
        <v>3050136</v>
      </c>
      <c r="B506" s="259" t="s">
        <v>1273</v>
      </c>
      <c r="C506" s="262"/>
      <c r="D506" s="261"/>
      <c r="E506" s="261"/>
      <c r="F506" s="261">
        <v>16301201</v>
      </c>
      <c r="G506" s="261">
        <f t="shared" si="238"/>
        <v>16301201</v>
      </c>
      <c r="H506" s="261">
        <v>0</v>
      </c>
      <c r="I506" s="261">
        <v>16301201</v>
      </c>
      <c r="J506" s="261">
        <f t="shared" si="228"/>
        <v>0</v>
      </c>
      <c r="K506" s="261">
        <v>0</v>
      </c>
      <c r="L506" s="261">
        <v>0</v>
      </c>
      <c r="M506" s="261"/>
      <c r="N506" s="261">
        <v>0</v>
      </c>
      <c r="O506" s="261">
        <v>16301201</v>
      </c>
      <c r="P506" s="261"/>
      <c r="Q506" s="177">
        <f t="shared" si="229"/>
        <v>0</v>
      </c>
      <c r="R506" s="261"/>
      <c r="T506" s="185">
        <v>3050136</v>
      </c>
      <c r="U506" s="259" t="s">
        <v>1273</v>
      </c>
      <c r="V506" s="261">
        <v>0</v>
      </c>
      <c r="W506" s="261">
        <v>0</v>
      </c>
      <c r="X506" s="261">
        <v>0</v>
      </c>
      <c r="Y506" s="261">
        <v>16301201</v>
      </c>
      <c r="Z506" s="261">
        <v>16301201</v>
      </c>
      <c r="AA506" s="261">
        <v>0</v>
      </c>
      <c r="AB506" s="261">
        <v>16301201</v>
      </c>
      <c r="AC506" s="261">
        <v>0</v>
      </c>
      <c r="AD506" s="261">
        <v>0</v>
      </c>
      <c r="AE506" s="261">
        <v>0</v>
      </c>
      <c r="AF506" s="261">
        <v>16301201</v>
      </c>
      <c r="AG506" s="261">
        <v>0</v>
      </c>
      <c r="AH506" s="261">
        <v>16301201</v>
      </c>
      <c r="AI506" s="261">
        <v>0</v>
      </c>
      <c r="AJ506" s="261">
        <v>0</v>
      </c>
      <c r="AK506" s="261">
        <v>0</v>
      </c>
      <c r="AL506" s="261">
        <v>0</v>
      </c>
      <c r="AM506" s="261">
        <v>16301201</v>
      </c>
      <c r="AN506" s="261">
        <v>16301201</v>
      </c>
      <c r="AO506" s="261">
        <v>0</v>
      </c>
      <c r="AP506" s="261">
        <v>0</v>
      </c>
      <c r="AQ506" s="261"/>
      <c r="AS506" s="261"/>
    </row>
    <row r="507" spans="1:45" x14ac:dyDescent="0.25">
      <c r="A507" s="185">
        <v>3050137</v>
      </c>
      <c r="B507" s="259" t="s">
        <v>1274</v>
      </c>
      <c r="C507" s="261"/>
      <c r="D507" s="261"/>
      <c r="E507" s="261"/>
      <c r="F507" s="261">
        <v>7485546</v>
      </c>
      <c r="G507" s="261">
        <f t="shared" si="238"/>
        <v>7485546</v>
      </c>
      <c r="H507" s="261">
        <v>6922820</v>
      </c>
      <c r="I507" s="261">
        <v>6922820</v>
      </c>
      <c r="J507" s="261">
        <f t="shared" si="228"/>
        <v>562726</v>
      </c>
      <c r="K507" s="261">
        <v>0</v>
      </c>
      <c r="L507" s="261">
        <v>0</v>
      </c>
      <c r="M507" s="261"/>
      <c r="N507" s="261">
        <v>6922820</v>
      </c>
      <c r="O507" s="261">
        <v>6922820</v>
      </c>
      <c r="P507" s="261"/>
      <c r="Q507" s="177">
        <f t="shared" si="229"/>
        <v>562726</v>
      </c>
      <c r="R507" s="261"/>
      <c r="T507" s="185">
        <v>3050137</v>
      </c>
      <c r="U507" s="259" t="s">
        <v>1274</v>
      </c>
      <c r="V507" s="261">
        <v>0</v>
      </c>
      <c r="W507" s="261">
        <v>0</v>
      </c>
      <c r="X507" s="261">
        <v>0</v>
      </c>
      <c r="Y507" s="261">
        <v>7485546</v>
      </c>
      <c r="Z507" s="261">
        <v>7485546</v>
      </c>
      <c r="AA507" s="261">
        <v>6922820</v>
      </c>
      <c r="AB507" s="261">
        <v>6922820</v>
      </c>
      <c r="AC507" s="261">
        <v>562726</v>
      </c>
      <c r="AD507" s="261">
        <v>0</v>
      </c>
      <c r="AE507" s="261">
        <v>0</v>
      </c>
      <c r="AF507" s="261">
        <v>6922820</v>
      </c>
      <c r="AG507" s="261">
        <v>6922820</v>
      </c>
      <c r="AH507" s="261">
        <v>6922820</v>
      </c>
      <c r="AI507" s="261">
        <v>0</v>
      </c>
      <c r="AJ507" s="261">
        <v>562726</v>
      </c>
      <c r="AK507" s="261">
        <v>0</v>
      </c>
      <c r="AL507" s="261">
        <v>6922820</v>
      </c>
      <c r="AM507" s="261">
        <v>6922820</v>
      </c>
      <c r="AN507" s="261">
        <v>6922820</v>
      </c>
      <c r="AO507" s="261">
        <v>0</v>
      </c>
      <c r="AP507" s="261">
        <v>562726</v>
      </c>
      <c r="AQ507" s="261"/>
      <c r="AS507" s="261"/>
    </row>
    <row r="508" spans="1:45" x14ac:dyDescent="0.25">
      <c r="A508" s="185">
        <v>3050138</v>
      </c>
      <c r="B508" s="259" t="s">
        <v>1275</v>
      </c>
      <c r="C508" s="261"/>
      <c r="D508" s="261"/>
      <c r="E508" s="261"/>
      <c r="F508" s="261">
        <v>4467159</v>
      </c>
      <c r="G508" s="261">
        <f t="shared" si="238"/>
        <v>4467159</v>
      </c>
      <c r="H508" s="261">
        <v>0</v>
      </c>
      <c r="I508" s="261">
        <v>0</v>
      </c>
      <c r="J508" s="261">
        <f t="shared" si="228"/>
        <v>4467159</v>
      </c>
      <c r="K508" s="261">
        <v>0</v>
      </c>
      <c r="L508" s="261">
        <v>0</v>
      </c>
      <c r="M508" s="261"/>
      <c r="N508" s="261">
        <v>0</v>
      </c>
      <c r="O508" s="261">
        <v>0</v>
      </c>
      <c r="P508" s="261"/>
      <c r="Q508" s="177">
        <f t="shared" si="229"/>
        <v>4467159</v>
      </c>
      <c r="R508" s="261"/>
      <c r="T508" s="185">
        <v>3050138</v>
      </c>
      <c r="U508" s="259" t="s">
        <v>1275</v>
      </c>
      <c r="V508" s="261">
        <v>0</v>
      </c>
      <c r="W508" s="261">
        <v>0</v>
      </c>
      <c r="X508" s="261">
        <v>0</v>
      </c>
      <c r="Y508" s="261">
        <v>4467159</v>
      </c>
      <c r="Z508" s="261">
        <v>4467159</v>
      </c>
      <c r="AA508" s="261">
        <v>0</v>
      </c>
      <c r="AB508" s="261">
        <v>0</v>
      </c>
      <c r="AC508" s="261">
        <v>4467159</v>
      </c>
      <c r="AD508" s="261">
        <v>0</v>
      </c>
      <c r="AE508" s="261">
        <v>0</v>
      </c>
      <c r="AF508" s="261">
        <v>0</v>
      </c>
      <c r="AG508" s="261">
        <v>0</v>
      </c>
      <c r="AH508" s="261">
        <v>0</v>
      </c>
      <c r="AI508" s="261">
        <v>0</v>
      </c>
      <c r="AJ508" s="261">
        <v>4467159</v>
      </c>
      <c r="AK508" s="261">
        <v>0</v>
      </c>
      <c r="AL508" s="261">
        <v>0</v>
      </c>
      <c r="AM508" s="261">
        <v>0</v>
      </c>
      <c r="AN508" s="261">
        <v>0</v>
      </c>
      <c r="AO508" s="261">
        <v>0</v>
      </c>
      <c r="AP508" s="261">
        <v>4467159</v>
      </c>
      <c r="AQ508" s="261"/>
      <c r="AS508" s="261"/>
    </row>
    <row r="509" spans="1:45" x14ac:dyDescent="0.25">
      <c r="A509" s="185">
        <v>3050139</v>
      </c>
      <c r="B509" s="259" t="s">
        <v>1276</v>
      </c>
      <c r="C509" s="261"/>
      <c r="D509" s="261"/>
      <c r="E509" s="261"/>
      <c r="F509" s="261">
        <v>10000000</v>
      </c>
      <c r="G509" s="261">
        <f t="shared" si="238"/>
        <v>10000000</v>
      </c>
      <c r="H509" s="261">
        <v>0</v>
      </c>
      <c r="I509" s="261">
        <v>0</v>
      </c>
      <c r="J509" s="261">
        <f t="shared" si="228"/>
        <v>10000000</v>
      </c>
      <c r="K509" s="261">
        <v>0</v>
      </c>
      <c r="L509" s="261">
        <v>0</v>
      </c>
      <c r="M509" s="261"/>
      <c r="N509" s="261">
        <v>0</v>
      </c>
      <c r="O509" s="261">
        <v>0</v>
      </c>
      <c r="P509" s="261"/>
      <c r="Q509" s="177">
        <f t="shared" si="229"/>
        <v>10000000</v>
      </c>
      <c r="R509" s="261"/>
      <c r="T509" s="185">
        <v>3050139</v>
      </c>
      <c r="U509" s="259" t="s">
        <v>1276</v>
      </c>
      <c r="V509" s="261">
        <v>0</v>
      </c>
      <c r="W509" s="261">
        <v>0</v>
      </c>
      <c r="X509" s="261">
        <v>0</v>
      </c>
      <c r="Y509" s="261">
        <v>10000000</v>
      </c>
      <c r="Z509" s="261">
        <v>10000000</v>
      </c>
      <c r="AA509" s="261">
        <v>0</v>
      </c>
      <c r="AB509" s="261">
        <v>0</v>
      </c>
      <c r="AC509" s="261">
        <v>10000000</v>
      </c>
      <c r="AD509" s="261">
        <v>0</v>
      </c>
      <c r="AE509" s="261">
        <v>0</v>
      </c>
      <c r="AF509" s="261">
        <v>0</v>
      </c>
      <c r="AG509" s="261">
        <v>0</v>
      </c>
      <c r="AH509" s="261">
        <v>0</v>
      </c>
      <c r="AI509" s="261">
        <v>0</v>
      </c>
      <c r="AJ509" s="261">
        <v>10000000</v>
      </c>
      <c r="AK509" s="261">
        <v>0</v>
      </c>
      <c r="AL509" s="261">
        <v>0</v>
      </c>
      <c r="AM509" s="261">
        <v>0</v>
      </c>
      <c r="AN509" s="261">
        <v>0</v>
      </c>
      <c r="AO509" s="261">
        <v>0</v>
      </c>
      <c r="AP509" s="261">
        <v>10000000</v>
      </c>
      <c r="AQ509" s="261"/>
      <c r="AS509" s="261"/>
    </row>
    <row r="510" spans="1:45" x14ac:dyDescent="0.25">
      <c r="A510" s="185">
        <v>3050140</v>
      </c>
      <c r="B510" s="259" t="s">
        <v>1277</v>
      </c>
      <c r="C510" s="261"/>
      <c r="D510" s="261"/>
      <c r="E510" s="261"/>
      <c r="F510" s="261">
        <v>44755815</v>
      </c>
      <c r="G510" s="261">
        <f t="shared" si="238"/>
        <v>44755815</v>
      </c>
      <c r="H510" s="261">
        <v>0</v>
      </c>
      <c r="I510" s="261">
        <v>0</v>
      </c>
      <c r="J510" s="261">
        <f t="shared" si="228"/>
        <v>44755815</v>
      </c>
      <c r="K510" s="261">
        <v>0</v>
      </c>
      <c r="L510" s="261">
        <v>0</v>
      </c>
      <c r="M510" s="261"/>
      <c r="N510" s="261">
        <v>0</v>
      </c>
      <c r="O510" s="261">
        <v>0</v>
      </c>
      <c r="P510" s="261"/>
      <c r="Q510" s="177">
        <f t="shared" si="229"/>
        <v>44755815</v>
      </c>
      <c r="R510" s="261"/>
      <c r="T510" s="185">
        <v>3050140</v>
      </c>
      <c r="U510" s="259" t="s">
        <v>1277</v>
      </c>
      <c r="V510" s="261">
        <v>0</v>
      </c>
      <c r="W510" s="261">
        <v>0</v>
      </c>
      <c r="X510" s="261">
        <v>0</v>
      </c>
      <c r="Y510" s="261">
        <v>44755815</v>
      </c>
      <c r="Z510" s="261">
        <v>44755815</v>
      </c>
      <c r="AA510" s="261">
        <v>0</v>
      </c>
      <c r="AB510" s="261">
        <v>0</v>
      </c>
      <c r="AC510" s="261">
        <v>44755815</v>
      </c>
      <c r="AD510" s="261">
        <v>0</v>
      </c>
      <c r="AE510" s="261">
        <v>0</v>
      </c>
      <c r="AF510" s="261">
        <v>0</v>
      </c>
      <c r="AG510" s="261">
        <v>0</v>
      </c>
      <c r="AH510" s="261">
        <v>0</v>
      </c>
      <c r="AI510" s="261">
        <v>0</v>
      </c>
      <c r="AJ510" s="261">
        <v>44755815</v>
      </c>
      <c r="AK510" s="261">
        <v>0</v>
      </c>
      <c r="AL510" s="261">
        <v>0</v>
      </c>
      <c r="AM510" s="261">
        <v>0</v>
      </c>
      <c r="AN510" s="261">
        <v>0</v>
      </c>
      <c r="AO510" s="261">
        <v>0</v>
      </c>
      <c r="AP510" s="261">
        <v>44755815</v>
      </c>
      <c r="AQ510" s="261"/>
      <c r="AS510" s="261"/>
    </row>
    <row r="511" spans="1:45" x14ac:dyDescent="0.25">
      <c r="A511" s="185">
        <v>3050141</v>
      </c>
      <c r="B511" s="259" t="s">
        <v>1278</v>
      </c>
      <c r="C511" s="261"/>
      <c r="D511" s="261"/>
      <c r="E511" s="261"/>
      <c r="F511" s="261">
        <v>4865480.5599999996</v>
      </c>
      <c r="G511" s="261">
        <f t="shared" si="238"/>
        <v>4865480.5599999996</v>
      </c>
      <c r="H511" s="261">
        <v>0</v>
      </c>
      <c r="I511" s="261">
        <v>0</v>
      </c>
      <c r="J511" s="261">
        <f t="shared" si="228"/>
        <v>4865480.5599999996</v>
      </c>
      <c r="K511" s="261">
        <v>0</v>
      </c>
      <c r="L511" s="261">
        <v>0</v>
      </c>
      <c r="M511" s="261"/>
      <c r="N511" s="261">
        <v>0</v>
      </c>
      <c r="O511" s="261">
        <v>0</v>
      </c>
      <c r="P511" s="261"/>
      <c r="Q511" s="177">
        <f t="shared" si="229"/>
        <v>4865480.5599999996</v>
      </c>
      <c r="R511" s="261"/>
      <c r="T511" s="185">
        <v>3050141</v>
      </c>
      <c r="U511" s="259" t="s">
        <v>1278</v>
      </c>
      <c r="V511" s="261">
        <v>0</v>
      </c>
      <c r="W511" s="261">
        <v>0</v>
      </c>
      <c r="X511" s="261">
        <v>0</v>
      </c>
      <c r="Y511" s="261">
        <v>4865480.5599999996</v>
      </c>
      <c r="Z511" s="261">
        <v>4865480.5599999996</v>
      </c>
      <c r="AA511" s="261">
        <v>0</v>
      </c>
      <c r="AB511" s="261">
        <v>0</v>
      </c>
      <c r="AC511" s="261">
        <v>4865480.5599999996</v>
      </c>
      <c r="AD511" s="261">
        <v>0</v>
      </c>
      <c r="AE511" s="261">
        <v>0</v>
      </c>
      <c r="AF511" s="261">
        <v>0</v>
      </c>
      <c r="AG511" s="261">
        <v>0</v>
      </c>
      <c r="AH511" s="261">
        <v>0</v>
      </c>
      <c r="AI511" s="261">
        <v>0</v>
      </c>
      <c r="AJ511" s="261">
        <v>4865480.5599999996</v>
      </c>
      <c r="AK511" s="261">
        <v>0</v>
      </c>
      <c r="AL511" s="261">
        <v>0</v>
      </c>
      <c r="AM511" s="261">
        <v>0</v>
      </c>
      <c r="AN511" s="261">
        <v>0</v>
      </c>
      <c r="AO511" s="261">
        <v>0</v>
      </c>
      <c r="AP511" s="261">
        <v>4865815</v>
      </c>
      <c r="AQ511" s="261"/>
      <c r="AS511" s="261"/>
    </row>
    <row r="512" spans="1:45" x14ac:dyDescent="0.25">
      <c r="A512" s="185">
        <v>3050142</v>
      </c>
      <c r="B512" s="259" t="s">
        <v>1279</v>
      </c>
      <c r="C512" s="261"/>
      <c r="D512" s="261"/>
      <c r="E512" s="261"/>
      <c r="F512" s="261">
        <v>106346962</v>
      </c>
      <c r="G512" s="261">
        <f t="shared" si="238"/>
        <v>106346962</v>
      </c>
      <c r="H512" s="261">
        <v>0</v>
      </c>
      <c r="I512" s="261">
        <v>60563877</v>
      </c>
      <c r="J512" s="261">
        <f t="shared" si="228"/>
        <v>45783085</v>
      </c>
      <c r="K512" s="261">
        <v>0</v>
      </c>
      <c r="L512" s="261">
        <v>0</v>
      </c>
      <c r="M512" s="261"/>
      <c r="N512" s="261">
        <v>0</v>
      </c>
      <c r="O512" s="261">
        <v>60563877</v>
      </c>
      <c r="P512" s="261"/>
      <c r="Q512" s="177">
        <f t="shared" si="229"/>
        <v>45783085</v>
      </c>
      <c r="R512" s="261"/>
      <c r="T512" s="185">
        <v>3050142</v>
      </c>
      <c r="U512" s="259" t="s">
        <v>1279</v>
      </c>
      <c r="V512" s="261">
        <v>0</v>
      </c>
      <c r="W512" s="261">
        <v>0</v>
      </c>
      <c r="X512" s="261">
        <v>0</v>
      </c>
      <c r="Y512" s="261">
        <v>106346962</v>
      </c>
      <c r="Z512" s="261">
        <v>106346962</v>
      </c>
      <c r="AA512" s="261">
        <v>0</v>
      </c>
      <c r="AB512" s="261">
        <v>60563877</v>
      </c>
      <c r="AC512" s="261">
        <v>45783085</v>
      </c>
      <c r="AD512" s="261">
        <v>0</v>
      </c>
      <c r="AE512" s="261">
        <v>0</v>
      </c>
      <c r="AF512" s="261">
        <v>60563877</v>
      </c>
      <c r="AG512" s="261">
        <v>0</v>
      </c>
      <c r="AH512" s="261">
        <v>60563877</v>
      </c>
      <c r="AI512" s="261">
        <v>0</v>
      </c>
      <c r="AJ512" s="261">
        <v>45783085</v>
      </c>
      <c r="AK512" s="261">
        <v>0</v>
      </c>
      <c r="AL512" s="261">
        <v>0</v>
      </c>
      <c r="AM512" s="261">
        <v>60563877</v>
      </c>
      <c r="AN512" s="261">
        <v>60563877</v>
      </c>
      <c r="AO512" s="261">
        <v>0</v>
      </c>
      <c r="AP512" s="261">
        <v>45783085</v>
      </c>
      <c r="AQ512" s="261"/>
      <c r="AS512" s="261"/>
    </row>
    <row r="513" spans="1:45" x14ac:dyDescent="0.25">
      <c r="A513" s="185">
        <v>3050143</v>
      </c>
      <c r="B513" s="259" t="s">
        <v>1280</v>
      </c>
      <c r="C513" s="261"/>
      <c r="D513" s="261"/>
      <c r="E513" s="261"/>
      <c r="F513" s="261">
        <v>206658941</v>
      </c>
      <c r="G513" s="261">
        <f t="shared" si="238"/>
        <v>206658941</v>
      </c>
      <c r="H513" s="261">
        <v>0</v>
      </c>
      <c r="I513" s="261">
        <v>0</v>
      </c>
      <c r="J513" s="261">
        <f t="shared" si="228"/>
        <v>206658941</v>
      </c>
      <c r="K513" s="261">
        <v>0</v>
      </c>
      <c r="L513" s="261">
        <v>0</v>
      </c>
      <c r="M513" s="261"/>
      <c r="N513" s="261">
        <v>18133476.34</v>
      </c>
      <c r="O513" s="261">
        <v>206658941</v>
      </c>
      <c r="P513" s="261"/>
      <c r="Q513" s="177">
        <f t="shared" si="229"/>
        <v>0</v>
      </c>
      <c r="R513" s="261"/>
      <c r="T513" s="185">
        <v>3050143</v>
      </c>
      <c r="U513" s="259" t="s">
        <v>1280</v>
      </c>
      <c r="V513" s="261">
        <v>0</v>
      </c>
      <c r="W513" s="261">
        <v>0</v>
      </c>
      <c r="X513" s="261">
        <v>0</v>
      </c>
      <c r="Y513" s="261">
        <v>206658941</v>
      </c>
      <c r="Z513" s="261">
        <v>206658941</v>
      </c>
      <c r="AA513" s="261">
        <v>0</v>
      </c>
      <c r="AB513" s="261">
        <v>0</v>
      </c>
      <c r="AC513" s="261">
        <v>206658941</v>
      </c>
      <c r="AD513" s="261">
        <v>0</v>
      </c>
      <c r="AE513" s="261">
        <v>0</v>
      </c>
      <c r="AF513" s="261">
        <v>0</v>
      </c>
      <c r="AG513" s="261">
        <v>18133476.34</v>
      </c>
      <c r="AH513" s="261">
        <v>206658941</v>
      </c>
      <c r="AI513" s="261">
        <v>206658941</v>
      </c>
      <c r="AJ513" s="261">
        <v>0</v>
      </c>
      <c r="AK513" s="261">
        <v>0</v>
      </c>
      <c r="AL513" s="261">
        <v>18133476.34</v>
      </c>
      <c r="AM513" s="261">
        <v>206658941</v>
      </c>
      <c r="AN513" s="261">
        <v>206658941</v>
      </c>
      <c r="AO513" s="261">
        <v>206658941</v>
      </c>
      <c r="AP513" s="261">
        <v>0</v>
      </c>
      <c r="AQ513" s="261"/>
      <c r="AS513" s="261"/>
    </row>
    <row r="514" spans="1:45" x14ac:dyDescent="0.25">
      <c r="A514" s="185">
        <v>3050144</v>
      </c>
      <c r="B514" s="259" t="s">
        <v>1281</v>
      </c>
      <c r="C514" s="261"/>
      <c r="D514" s="261"/>
      <c r="E514" s="261"/>
      <c r="F514" s="261">
        <v>61611.6</v>
      </c>
      <c r="G514" s="261">
        <f t="shared" si="238"/>
        <v>61611.6</v>
      </c>
      <c r="H514" s="261">
        <v>0</v>
      </c>
      <c r="I514" s="261">
        <v>61611.6</v>
      </c>
      <c r="J514" s="261">
        <f t="shared" si="228"/>
        <v>0</v>
      </c>
      <c r="K514" s="261">
        <v>0</v>
      </c>
      <c r="L514" s="261">
        <v>0</v>
      </c>
      <c r="M514" s="261"/>
      <c r="N514" s="261">
        <v>0</v>
      </c>
      <c r="O514" s="261">
        <v>61611.6</v>
      </c>
      <c r="P514" s="261"/>
      <c r="Q514" s="177">
        <f t="shared" si="229"/>
        <v>0</v>
      </c>
      <c r="R514" s="261"/>
      <c r="T514" s="185">
        <v>3050144</v>
      </c>
      <c r="U514" s="259" t="s">
        <v>1281</v>
      </c>
      <c r="V514" s="261">
        <v>0</v>
      </c>
      <c r="W514" s="261">
        <v>0</v>
      </c>
      <c r="X514" s="261">
        <v>0</v>
      </c>
      <c r="Y514" s="261">
        <v>61611.6</v>
      </c>
      <c r="Z514" s="261">
        <v>61611.6</v>
      </c>
      <c r="AA514" s="261">
        <v>0</v>
      </c>
      <c r="AB514" s="261">
        <v>61611.6</v>
      </c>
      <c r="AC514" s="261">
        <v>0</v>
      </c>
      <c r="AD514" s="261">
        <v>0</v>
      </c>
      <c r="AE514" s="261">
        <v>0</v>
      </c>
      <c r="AF514" s="261">
        <v>61611.6</v>
      </c>
      <c r="AG514" s="261">
        <v>0</v>
      </c>
      <c r="AH514" s="261">
        <v>61611.6</v>
      </c>
      <c r="AI514" s="261">
        <v>0</v>
      </c>
      <c r="AJ514" s="261">
        <v>0</v>
      </c>
      <c r="AK514" s="261">
        <v>0</v>
      </c>
      <c r="AL514" s="261">
        <v>0</v>
      </c>
      <c r="AM514" s="261">
        <v>61611.6</v>
      </c>
      <c r="AN514" s="261">
        <v>61611.6</v>
      </c>
      <c r="AO514" s="261">
        <v>0</v>
      </c>
      <c r="AP514" s="261">
        <v>0</v>
      </c>
      <c r="AQ514" s="261"/>
      <c r="AS514" s="261"/>
    </row>
    <row r="515" spans="1:45" x14ac:dyDescent="0.25">
      <c r="A515" s="185">
        <v>3050145</v>
      </c>
      <c r="B515" s="259" t="s">
        <v>1282</v>
      </c>
      <c r="C515" s="261"/>
      <c r="D515" s="261"/>
      <c r="E515" s="261"/>
      <c r="F515" s="261">
        <v>41783424</v>
      </c>
      <c r="G515" s="261">
        <f t="shared" si="238"/>
        <v>41783424</v>
      </c>
      <c r="H515" s="261">
        <v>1800000</v>
      </c>
      <c r="I515" s="261">
        <v>1800000</v>
      </c>
      <c r="J515" s="261">
        <f t="shared" si="228"/>
        <v>39983424</v>
      </c>
      <c r="K515" s="261">
        <v>0</v>
      </c>
      <c r="L515" s="261">
        <v>0</v>
      </c>
      <c r="M515" s="261"/>
      <c r="N515" s="261">
        <v>1800000</v>
      </c>
      <c r="O515" s="261">
        <v>1800000</v>
      </c>
      <c r="P515" s="261"/>
      <c r="Q515" s="177">
        <f t="shared" si="229"/>
        <v>39983424</v>
      </c>
      <c r="R515" s="261"/>
      <c r="T515" s="185">
        <v>3050145</v>
      </c>
      <c r="U515" s="259" t="s">
        <v>1282</v>
      </c>
      <c r="V515" s="261">
        <v>0</v>
      </c>
      <c r="W515" s="261">
        <v>0</v>
      </c>
      <c r="X515" s="261">
        <v>0</v>
      </c>
      <c r="Y515" s="261">
        <v>41783424</v>
      </c>
      <c r="Z515" s="261">
        <v>41783424</v>
      </c>
      <c r="AA515" s="261">
        <v>1800000</v>
      </c>
      <c r="AB515" s="261">
        <v>1800000</v>
      </c>
      <c r="AC515" s="261">
        <v>39983424</v>
      </c>
      <c r="AD515" s="261">
        <v>0</v>
      </c>
      <c r="AE515" s="261">
        <v>0</v>
      </c>
      <c r="AF515" s="261">
        <v>1800000</v>
      </c>
      <c r="AG515" s="261">
        <v>1800000</v>
      </c>
      <c r="AH515" s="261">
        <v>1800000</v>
      </c>
      <c r="AI515" s="261">
        <v>0</v>
      </c>
      <c r="AJ515" s="261">
        <v>39983424</v>
      </c>
      <c r="AK515" s="261">
        <v>0</v>
      </c>
      <c r="AL515" s="261">
        <v>1800000</v>
      </c>
      <c r="AM515" s="261">
        <v>1800000</v>
      </c>
      <c r="AN515" s="261">
        <v>1800000</v>
      </c>
      <c r="AO515" s="261">
        <v>0</v>
      </c>
      <c r="AP515" s="261">
        <v>39983424</v>
      </c>
      <c r="AQ515" s="261"/>
      <c r="AS515" s="261"/>
    </row>
    <row r="516" spans="1:45" x14ac:dyDescent="0.25">
      <c r="A516" s="185">
        <v>3050146</v>
      </c>
      <c r="B516" s="259" t="s">
        <v>1283</v>
      </c>
      <c r="C516" s="262"/>
      <c r="D516" s="261"/>
      <c r="E516" s="261"/>
      <c r="F516" s="261">
        <v>210023987.33000001</v>
      </c>
      <c r="G516" s="261">
        <f t="shared" si="238"/>
        <v>210023987.33000001</v>
      </c>
      <c r="H516" s="261">
        <v>0</v>
      </c>
      <c r="I516" s="261">
        <v>0</v>
      </c>
      <c r="J516" s="261">
        <f t="shared" si="228"/>
        <v>210023987.33000001</v>
      </c>
      <c r="K516" s="261">
        <v>0</v>
      </c>
      <c r="L516" s="261">
        <v>0</v>
      </c>
      <c r="M516" s="261"/>
      <c r="N516" s="261">
        <v>0</v>
      </c>
      <c r="O516" s="261">
        <v>210023987.33000001</v>
      </c>
      <c r="P516" s="261"/>
      <c r="Q516" s="177">
        <f t="shared" si="229"/>
        <v>0</v>
      </c>
      <c r="R516" s="261"/>
      <c r="T516" s="185">
        <v>3050146</v>
      </c>
      <c r="U516" s="259" t="s">
        <v>1283</v>
      </c>
      <c r="V516" s="261">
        <v>0</v>
      </c>
      <c r="W516" s="261">
        <v>0</v>
      </c>
      <c r="X516" s="261">
        <v>0</v>
      </c>
      <c r="Y516" s="261">
        <v>210023987.33000001</v>
      </c>
      <c r="Z516" s="261">
        <v>210023987.33000001</v>
      </c>
      <c r="AA516" s="261">
        <v>0</v>
      </c>
      <c r="AB516" s="261">
        <v>0</v>
      </c>
      <c r="AC516" s="261">
        <v>210023987.33000001</v>
      </c>
      <c r="AD516" s="261">
        <v>0</v>
      </c>
      <c r="AE516" s="261">
        <v>0</v>
      </c>
      <c r="AF516" s="261">
        <v>0</v>
      </c>
      <c r="AG516" s="261">
        <v>0</v>
      </c>
      <c r="AH516" s="261">
        <v>210023987.33000001</v>
      </c>
      <c r="AI516" s="261">
        <v>210023987.33000001</v>
      </c>
      <c r="AJ516" s="261">
        <v>0</v>
      </c>
      <c r="AK516" s="261">
        <v>0</v>
      </c>
      <c r="AL516" s="261">
        <v>0</v>
      </c>
      <c r="AM516" s="261">
        <v>210023987.33000001</v>
      </c>
      <c r="AN516" s="261">
        <v>210023987.33000001</v>
      </c>
      <c r="AO516" s="261">
        <v>210023987.33000001</v>
      </c>
      <c r="AP516" s="261">
        <v>0</v>
      </c>
      <c r="AQ516" s="261"/>
      <c r="AS516" s="261"/>
    </row>
    <row r="517" spans="1:45" x14ac:dyDescent="0.25">
      <c r="A517" s="185">
        <v>3050147</v>
      </c>
      <c r="B517" s="259" t="s">
        <v>1284</v>
      </c>
      <c r="C517" s="261"/>
      <c r="D517" s="261"/>
      <c r="E517" s="261"/>
      <c r="F517" s="261">
        <v>8254405.1900000004</v>
      </c>
      <c r="G517" s="261">
        <f t="shared" si="238"/>
        <v>8254405.1900000004</v>
      </c>
      <c r="H517" s="261">
        <v>0</v>
      </c>
      <c r="I517" s="261">
        <v>0</v>
      </c>
      <c r="J517" s="261">
        <f t="shared" si="228"/>
        <v>8254405.1900000004</v>
      </c>
      <c r="K517" s="261">
        <v>0</v>
      </c>
      <c r="L517" s="261">
        <v>0</v>
      </c>
      <c r="M517" s="261"/>
      <c r="N517" s="261">
        <v>8254405.1900000004</v>
      </c>
      <c r="O517" s="261">
        <v>8254405.1900000004</v>
      </c>
      <c r="P517" s="261"/>
      <c r="Q517" s="177">
        <f t="shared" si="229"/>
        <v>0</v>
      </c>
      <c r="R517" s="261"/>
      <c r="T517" s="185">
        <v>3050147</v>
      </c>
      <c r="U517" s="259" t="s">
        <v>1284</v>
      </c>
      <c r="V517" s="261">
        <v>0</v>
      </c>
      <c r="W517" s="261">
        <v>0</v>
      </c>
      <c r="X517" s="261">
        <v>0</v>
      </c>
      <c r="Y517" s="261">
        <v>8254405.1900000004</v>
      </c>
      <c r="Z517" s="261">
        <v>8254405.1900000004</v>
      </c>
      <c r="AA517" s="261">
        <v>0</v>
      </c>
      <c r="AB517" s="261">
        <v>0</v>
      </c>
      <c r="AC517" s="261">
        <v>8254405.1900000004</v>
      </c>
      <c r="AD517" s="261">
        <v>0</v>
      </c>
      <c r="AE517" s="261">
        <v>0</v>
      </c>
      <c r="AF517" s="261">
        <v>0</v>
      </c>
      <c r="AG517" s="261">
        <v>8254405.1900000004</v>
      </c>
      <c r="AH517" s="261">
        <v>8254405.1900000004</v>
      </c>
      <c r="AI517" s="261">
        <v>8254405.1900000004</v>
      </c>
      <c r="AJ517" s="261">
        <v>0</v>
      </c>
      <c r="AK517" s="261">
        <v>0</v>
      </c>
      <c r="AL517" s="261">
        <v>8254405.1900000004</v>
      </c>
      <c r="AM517" s="261">
        <v>8254405.1900000004</v>
      </c>
      <c r="AN517" s="261">
        <v>8254405.1900000004</v>
      </c>
      <c r="AO517" s="261">
        <v>8254405.1900000004</v>
      </c>
      <c r="AP517" s="261">
        <v>0</v>
      </c>
      <c r="AQ517" s="261"/>
      <c r="AS517" s="261"/>
    </row>
    <row r="518" spans="1:45" x14ac:dyDescent="0.25">
      <c r="A518" s="185">
        <v>3050148</v>
      </c>
      <c r="B518" s="259" t="s">
        <v>1285</v>
      </c>
      <c r="C518" s="261"/>
      <c r="D518" s="261"/>
      <c r="E518" s="261"/>
      <c r="F518" s="261">
        <v>16247447.529999999</v>
      </c>
      <c r="G518" s="261">
        <f t="shared" si="238"/>
        <v>16247447.529999999</v>
      </c>
      <c r="H518" s="261">
        <v>0</v>
      </c>
      <c r="I518" s="261">
        <v>0</v>
      </c>
      <c r="J518" s="261">
        <f t="shared" si="228"/>
        <v>16247447.529999999</v>
      </c>
      <c r="K518" s="261">
        <v>0</v>
      </c>
      <c r="L518" s="261">
        <v>0</v>
      </c>
      <c r="M518" s="261"/>
      <c r="N518" s="261">
        <v>16247447.529999999</v>
      </c>
      <c r="O518" s="261">
        <v>16247447.529999999</v>
      </c>
      <c r="P518" s="261"/>
      <c r="Q518" s="177">
        <f t="shared" si="229"/>
        <v>0</v>
      </c>
      <c r="R518" s="261"/>
      <c r="T518" s="185">
        <v>3050148</v>
      </c>
      <c r="U518" s="259" t="s">
        <v>1285</v>
      </c>
      <c r="V518" s="261">
        <v>0</v>
      </c>
      <c r="W518" s="261">
        <v>0</v>
      </c>
      <c r="X518" s="261">
        <v>0</v>
      </c>
      <c r="Y518" s="261">
        <v>16247447.529999999</v>
      </c>
      <c r="Z518" s="261">
        <v>16247447.529999999</v>
      </c>
      <c r="AA518" s="261">
        <v>0</v>
      </c>
      <c r="AB518" s="261">
        <v>0</v>
      </c>
      <c r="AC518" s="261">
        <v>16247447.529999999</v>
      </c>
      <c r="AD518" s="261">
        <v>0</v>
      </c>
      <c r="AE518" s="261">
        <v>0</v>
      </c>
      <c r="AF518" s="261">
        <v>0</v>
      </c>
      <c r="AG518" s="261">
        <v>16247447.529999999</v>
      </c>
      <c r="AH518" s="261">
        <v>16247447.529999999</v>
      </c>
      <c r="AI518" s="261">
        <v>16247447.529999999</v>
      </c>
      <c r="AJ518" s="261">
        <v>0</v>
      </c>
      <c r="AK518" s="261">
        <v>0</v>
      </c>
      <c r="AL518" s="261">
        <v>16247447.529999999</v>
      </c>
      <c r="AM518" s="261">
        <v>16247447.529999999</v>
      </c>
      <c r="AN518" s="261">
        <v>16247447.529999999</v>
      </c>
      <c r="AO518" s="261">
        <v>16247447.529999999</v>
      </c>
      <c r="AP518" s="261">
        <v>0</v>
      </c>
      <c r="AQ518" s="261"/>
      <c r="AS518" s="261"/>
    </row>
    <row r="519" spans="1:45" x14ac:dyDescent="0.25">
      <c r="A519" s="185">
        <v>3050149</v>
      </c>
      <c r="B519" s="259" t="s">
        <v>1286</v>
      </c>
      <c r="C519" s="261"/>
      <c r="D519" s="261"/>
      <c r="E519" s="261"/>
      <c r="F519" s="261">
        <v>55737450</v>
      </c>
      <c r="G519" s="261">
        <f t="shared" si="238"/>
        <v>55737450</v>
      </c>
      <c r="H519" s="261">
        <v>0</v>
      </c>
      <c r="I519" s="261">
        <v>0</v>
      </c>
      <c r="J519" s="261">
        <f t="shared" si="228"/>
        <v>55737450</v>
      </c>
      <c r="K519" s="261">
        <v>0</v>
      </c>
      <c r="L519" s="261">
        <v>0</v>
      </c>
      <c r="M519" s="261"/>
      <c r="N519" s="261">
        <v>31480642.5</v>
      </c>
      <c r="O519" s="261">
        <v>31480642.5</v>
      </c>
      <c r="P519" s="261"/>
      <c r="Q519" s="177">
        <f t="shared" si="229"/>
        <v>24256807.5</v>
      </c>
      <c r="R519" s="261"/>
      <c r="T519" s="185">
        <v>3050149</v>
      </c>
      <c r="U519" s="259" t="s">
        <v>1286</v>
      </c>
      <c r="V519" s="261">
        <v>0</v>
      </c>
      <c r="W519" s="261">
        <v>0</v>
      </c>
      <c r="X519" s="261">
        <v>0</v>
      </c>
      <c r="Y519" s="261">
        <v>55737450</v>
      </c>
      <c r="Z519" s="261">
        <v>55737450</v>
      </c>
      <c r="AA519" s="261">
        <v>0</v>
      </c>
      <c r="AB519" s="261">
        <v>0</v>
      </c>
      <c r="AC519" s="261">
        <v>55737450</v>
      </c>
      <c r="AD519" s="261">
        <v>0</v>
      </c>
      <c r="AE519" s="261">
        <v>0</v>
      </c>
      <c r="AF519" s="261">
        <v>0</v>
      </c>
      <c r="AG519" s="261">
        <v>31480642.5</v>
      </c>
      <c r="AH519" s="261">
        <v>31480642.5</v>
      </c>
      <c r="AI519" s="261">
        <v>31480642.5</v>
      </c>
      <c r="AJ519" s="261">
        <v>24256807.5</v>
      </c>
      <c r="AK519" s="261">
        <v>0</v>
      </c>
      <c r="AL519" s="261">
        <v>31480642.5</v>
      </c>
      <c r="AM519" s="261">
        <v>31480642.5</v>
      </c>
      <c r="AN519" s="261">
        <v>31480642.5</v>
      </c>
      <c r="AO519" s="261">
        <v>31480642.5</v>
      </c>
      <c r="AP519" s="261">
        <v>24256807.5</v>
      </c>
      <c r="AQ519" s="261"/>
      <c r="AS519" s="261"/>
    </row>
    <row r="520" spans="1:45" x14ac:dyDescent="0.25">
      <c r="A520" s="185">
        <v>3050150</v>
      </c>
      <c r="B520" s="259" t="s">
        <v>1287</v>
      </c>
      <c r="C520" s="261"/>
      <c r="D520" s="261"/>
      <c r="E520" s="261"/>
      <c r="F520" s="261">
        <v>56007.13</v>
      </c>
      <c r="G520" s="261">
        <f t="shared" si="238"/>
        <v>56007.13</v>
      </c>
      <c r="H520" s="261">
        <v>0</v>
      </c>
      <c r="I520" s="261">
        <v>0</v>
      </c>
      <c r="J520" s="261">
        <f t="shared" si="228"/>
        <v>56007.13</v>
      </c>
      <c r="K520" s="261">
        <v>0</v>
      </c>
      <c r="L520" s="261">
        <v>0</v>
      </c>
      <c r="M520" s="261"/>
      <c r="N520" s="261">
        <v>0</v>
      </c>
      <c r="O520" s="261">
        <v>0</v>
      </c>
      <c r="P520" s="261"/>
      <c r="Q520" s="177">
        <f t="shared" si="229"/>
        <v>56007.13</v>
      </c>
      <c r="R520" s="261"/>
      <c r="T520" s="185">
        <v>3050150</v>
      </c>
      <c r="U520" s="259" t="s">
        <v>1287</v>
      </c>
      <c r="V520" s="261">
        <v>0</v>
      </c>
      <c r="W520" s="261">
        <v>0</v>
      </c>
      <c r="X520" s="261">
        <v>0</v>
      </c>
      <c r="Y520" s="261">
        <v>56007.13</v>
      </c>
      <c r="Z520" s="261">
        <v>56007.13</v>
      </c>
      <c r="AA520" s="261">
        <v>0</v>
      </c>
      <c r="AB520" s="261">
        <v>0</v>
      </c>
      <c r="AC520" s="261">
        <v>56007.13</v>
      </c>
      <c r="AD520" s="261">
        <v>0</v>
      </c>
      <c r="AE520" s="261">
        <v>0</v>
      </c>
      <c r="AF520" s="261">
        <v>0</v>
      </c>
      <c r="AG520" s="261">
        <v>0</v>
      </c>
      <c r="AH520" s="261">
        <v>0</v>
      </c>
      <c r="AI520" s="261">
        <v>0</v>
      </c>
      <c r="AJ520" s="261">
        <v>56007.13</v>
      </c>
      <c r="AK520" s="261">
        <v>0</v>
      </c>
      <c r="AL520" s="261">
        <v>0</v>
      </c>
      <c r="AM520" s="261">
        <v>0</v>
      </c>
      <c r="AN520" s="261">
        <v>0</v>
      </c>
      <c r="AO520" s="261">
        <v>0</v>
      </c>
      <c r="AP520" s="261">
        <v>56007.13</v>
      </c>
      <c r="AQ520" s="261"/>
      <c r="AS520" s="261"/>
    </row>
    <row r="521" spans="1:45" x14ac:dyDescent="0.25">
      <c r="A521" s="185">
        <v>3050151</v>
      </c>
      <c r="B521" s="259" t="s">
        <v>1288</v>
      </c>
      <c r="C521" s="261"/>
      <c r="D521" s="261"/>
      <c r="E521" s="261"/>
      <c r="F521" s="261">
        <v>6016446.9500000002</v>
      </c>
      <c r="G521" s="261">
        <f t="shared" si="238"/>
        <v>6016446.9500000002</v>
      </c>
      <c r="H521" s="261">
        <v>0</v>
      </c>
      <c r="I521" s="261">
        <v>0</v>
      </c>
      <c r="J521" s="261">
        <f t="shared" ref="J521:J584" si="239">+G521-I521</f>
        <v>6016446.9500000002</v>
      </c>
      <c r="K521" s="261">
        <v>0</v>
      </c>
      <c r="L521" s="261">
        <v>0</v>
      </c>
      <c r="M521" s="261"/>
      <c r="N521" s="261">
        <v>0</v>
      </c>
      <c r="O521" s="261">
        <v>0</v>
      </c>
      <c r="P521" s="261"/>
      <c r="Q521" s="177">
        <f t="shared" ref="Q521:Q584" si="240">+G521-O521</f>
        <v>6016446.9500000002</v>
      </c>
      <c r="R521" s="261"/>
      <c r="T521" s="185">
        <v>3050151</v>
      </c>
      <c r="U521" s="259" t="s">
        <v>1288</v>
      </c>
      <c r="V521" s="261">
        <v>0</v>
      </c>
      <c r="W521" s="261">
        <v>0</v>
      </c>
      <c r="X521" s="261">
        <v>0</v>
      </c>
      <c r="Y521" s="261">
        <v>6016446.9500000002</v>
      </c>
      <c r="Z521" s="261">
        <v>6016446.9500000002</v>
      </c>
      <c r="AA521" s="261">
        <v>0</v>
      </c>
      <c r="AB521" s="261">
        <v>0</v>
      </c>
      <c r="AC521" s="261">
        <v>6016446.9500000002</v>
      </c>
      <c r="AD521" s="261">
        <v>0</v>
      </c>
      <c r="AE521" s="261">
        <v>0</v>
      </c>
      <c r="AF521" s="261">
        <v>0</v>
      </c>
      <c r="AG521" s="261">
        <v>0</v>
      </c>
      <c r="AH521" s="261">
        <v>0</v>
      </c>
      <c r="AI521" s="261">
        <v>0</v>
      </c>
      <c r="AJ521" s="261">
        <v>6016446.9500000002</v>
      </c>
      <c r="AK521" s="261">
        <v>0</v>
      </c>
      <c r="AL521" s="261">
        <v>0</v>
      </c>
      <c r="AM521" s="261">
        <v>0</v>
      </c>
      <c r="AN521" s="261">
        <v>0</v>
      </c>
      <c r="AO521" s="261">
        <v>0</v>
      </c>
      <c r="AP521" s="261">
        <v>6016446.9500000002</v>
      </c>
      <c r="AQ521" s="261"/>
      <c r="AS521" s="261"/>
    </row>
    <row r="522" spans="1:45" x14ac:dyDescent="0.25">
      <c r="A522" s="185">
        <v>3050152</v>
      </c>
      <c r="B522" s="259" t="s">
        <v>1289</v>
      </c>
      <c r="C522" s="261"/>
      <c r="D522" s="261"/>
      <c r="E522" s="261"/>
      <c r="F522" s="261">
        <v>85059966.340000004</v>
      </c>
      <c r="G522" s="261">
        <f t="shared" si="238"/>
        <v>85059966.340000004</v>
      </c>
      <c r="H522" s="261">
        <v>0</v>
      </c>
      <c r="I522" s="261">
        <v>36835449.399999999</v>
      </c>
      <c r="J522" s="261">
        <f t="shared" si="239"/>
        <v>48224516.940000005</v>
      </c>
      <c r="K522" s="261">
        <v>0</v>
      </c>
      <c r="L522" s="261">
        <v>0</v>
      </c>
      <c r="M522" s="261"/>
      <c r="N522" s="261">
        <v>0</v>
      </c>
      <c r="O522" s="261">
        <v>36835449.399999999</v>
      </c>
      <c r="P522" s="261"/>
      <c r="Q522" s="177">
        <f t="shared" si="240"/>
        <v>48224516.940000005</v>
      </c>
      <c r="R522" s="261"/>
      <c r="T522" s="185">
        <v>3050152</v>
      </c>
      <c r="U522" s="259" t="s">
        <v>1289</v>
      </c>
      <c r="V522" s="261">
        <v>0</v>
      </c>
      <c r="W522" s="261">
        <v>0</v>
      </c>
      <c r="X522" s="261">
        <v>0</v>
      </c>
      <c r="Y522" s="261">
        <v>85059966.340000004</v>
      </c>
      <c r="Z522" s="261">
        <v>85059966.340000004</v>
      </c>
      <c r="AA522" s="261">
        <v>0</v>
      </c>
      <c r="AB522" s="261">
        <v>36835449.399999999</v>
      </c>
      <c r="AC522" s="261">
        <v>48224516.940000005</v>
      </c>
      <c r="AD522" s="261">
        <v>0</v>
      </c>
      <c r="AE522" s="261">
        <v>0</v>
      </c>
      <c r="AF522" s="261">
        <v>36835449.399999999</v>
      </c>
      <c r="AG522" s="261">
        <v>0</v>
      </c>
      <c r="AH522" s="261">
        <v>36835449.399999999</v>
      </c>
      <c r="AI522" s="261">
        <v>0</v>
      </c>
      <c r="AJ522" s="261">
        <v>48224516.940000005</v>
      </c>
      <c r="AK522" s="261">
        <v>0</v>
      </c>
      <c r="AL522" s="261">
        <v>0</v>
      </c>
      <c r="AM522" s="261">
        <v>36835449.399999999</v>
      </c>
      <c r="AN522" s="261">
        <v>36835449.399999999</v>
      </c>
      <c r="AO522" s="261">
        <v>0</v>
      </c>
      <c r="AP522" s="261">
        <v>48254516.940000005</v>
      </c>
      <c r="AQ522" s="261"/>
      <c r="AS522" s="261"/>
    </row>
    <row r="523" spans="1:45" x14ac:dyDescent="0.25">
      <c r="A523" s="185">
        <v>3050153</v>
      </c>
      <c r="B523" s="259" t="s">
        <v>1290</v>
      </c>
      <c r="C523" s="261"/>
      <c r="D523" s="261"/>
      <c r="E523" s="261"/>
      <c r="F523" s="261">
        <v>154289853</v>
      </c>
      <c r="G523" s="261">
        <f t="shared" si="238"/>
        <v>154289853</v>
      </c>
      <c r="H523" s="261">
        <v>15223338</v>
      </c>
      <c r="I523" s="261">
        <v>15223338</v>
      </c>
      <c r="J523" s="261">
        <f t="shared" si="239"/>
        <v>139066515</v>
      </c>
      <c r="K523" s="261">
        <v>0</v>
      </c>
      <c r="L523" s="261">
        <v>0</v>
      </c>
      <c r="M523" s="261"/>
      <c r="N523" s="261">
        <v>15223338</v>
      </c>
      <c r="O523" s="261">
        <v>15223338</v>
      </c>
      <c r="P523" s="261"/>
      <c r="Q523" s="177">
        <f t="shared" si="240"/>
        <v>139066515</v>
      </c>
      <c r="R523" s="261"/>
      <c r="T523" s="185">
        <v>3050153</v>
      </c>
      <c r="U523" s="259" t="s">
        <v>1290</v>
      </c>
      <c r="V523" s="261">
        <v>0</v>
      </c>
      <c r="W523" s="261">
        <v>0</v>
      </c>
      <c r="X523" s="261">
        <v>0</v>
      </c>
      <c r="Y523" s="261">
        <v>154289853</v>
      </c>
      <c r="Z523" s="261">
        <v>154289853</v>
      </c>
      <c r="AA523" s="261">
        <v>15223338</v>
      </c>
      <c r="AB523" s="261">
        <v>15223338</v>
      </c>
      <c r="AC523" s="261">
        <v>139066515</v>
      </c>
      <c r="AD523" s="261">
        <v>0</v>
      </c>
      <c r="AE523" s="261">
        <v>0</v>
      </c>
      <c r="AF523" s="261">
        <v>15223338</v>
      </c>
      <c r="AG523" s="261">
        <v>15223338</v>
      </c>
      <c r="AH523" s="261">
        <v>15223338</v>
      </c>
      <c r="AI523" s="261">
        <v>0</v>
      </c>
      <c r="AJ523" s="261">
        <v>139066515</v>
      </c>
      <c r="AK523" s="261">
        <v>0</v>
      </c>
      <c r="AL523" s="261">
        <v>0</v>
      </c>
      <c r="AM523" s="261">
        <v>0</v>
      </c>
      <c r="AN523" s="261">
        <v>0</v>
      </c>
      <c r="AO523" s="261">
        <v>0</v>
      </c>
      <c r="AP523" s="261">
        <v>154289853</v>
      </c>
      <c r="AQ523" s="261"/>
      <c r="AS523" s="261"/>
    </row>
    <row r="524" spans="1:45" x14ac:dyDescent="0.25">
      <c r="A524" s="185">
        <v>3050154</v>
      </c>
      <c r="B524" s="259" t="s">
        <v>1291</v>
      </c>
      <c r="C524" s="261"/>
      <c r="D524" s="261"/>
      <c r="E524" s="261"/>
      <c r="F524" s="261">
        <v>22727950</v>
      </c>
      <c r="G524" s="261">
        <f t="shared" si="238"/>
        <v>22727950</v>
      </c>
      <c r="H524" s="261">
        <v>0</v>
      </c>
      <c r="I524" s="261">
        <v>0</v>
      </c>
      <c r="J524" s="261">
        <f t="shared" si="239"/>
        <v>22727950</v>
      </c>
      <c r="K524" s="261">
        <v>0</v>
      </c>
      <c r="L524" s="261">
        <v>0</v>
      </c>
      <c r="M524" s="261"/>
      <c r="N524" s="261">
        <v>0</v>
      </c>
      <c r="O524" s="261">
        <v>0</v>
      </c>
      <c r="P524" s="261"/>
      <c r="Q524" s="177">
        <f t="shared" si="240"/>
        <v>22727950</v>
      </c>
      <c r="R524" s="261"/>
      <c r="T524" s="185">
        <v>3050154</v>
      </c>
      <c r="U524" s="259" t="s">
        <v>1291</v>
      </c>
      <c r="V524" s="261">
        <v>0</v>
      </c>
      <c r="W524" s="261">
        <v>0</v>
      </c>
      <c r="X524" s="261">
        <v>0</v>
      </c>
      <c r="Y524" s="261">
        <v>22727950</v>
      </c>
      <c r="Z524" s="261">
        <v>22727950</v>
      </c>
      <c r="AA524" s="261">
        <v>0</v>
      </c>
      <c r="AB524" s="261">
        <v>0</v>
      </c>
      <c r="AC524" s="261">
        <v>22727950</v>
      </c>
      <c r="AD524" s="261">
        <v>0</v>
      </c>
      <c r="AE524" s="261">
        <v>0</v>
      </c>
      <c r="AF524" s="261">
        <v>0</v>
      </c>
      <c r="AG524" s="261">
        <v>0</v>
      </c>
      <c r="AH524" s="261">
        <v>0</v>
      </c>
      <c r="AI524" s="261">
        <v>0</v>
      </c>
      <c r="AJ524" s="261">
        <v>22727950</v>
      </c>
      <c r="AK524" s="261">
        <v>0</v>
      </c>
      <c r="AL524" s="261">
        <v>0</v>
      </c>
      <c r="AM524" s="261">
        <v>0</v>
      </c>
      <c r="AN524" s="261">
        <v>0</v>
      </c>
      <c r="AO524" s="261">
        <v>0</v>
      </c>
      <c r="AP524" s="261">
        <v>22727950</v>
      </c>
      <c r="AQ524" s="261"/>
      <c r="AS524" s="261"/>
    </row>
    <row r="525" spans="1:45" x14ac:dyDescent="0.25">
      <c r="A525" s="185">
        <v>3050155</v>
      </c>
      <c r="B525" s="259" t="s">
        <v>1292</v>
      </c>
      <c r="C525" s="261"/>
      <c r="D525" s="261"/>
      <c r="E525" s="261"/>
      <c r="F525" s="261">
        <v>354907591</v>
      </c>
      <c r="G525" s="261">
        <f t="shared" si="238"/>
        <v>354907591</v>
      </c>
      <c r="H525" s="261">
        <v>0</v>
      </c>
      <c r="I525" s="261">
        <v>354907591</v>
      </c>
      <c r="J525" s="261">
        <f t="shared" si="239"/>
        <v>0</v>
      </c>
      <c r="K525" s="261">
        <v>0</v>
      </c>
      <c r="L525" s="261">
        <v>322730000</v>
      </c>
      <c r="M525" s="261"/>
      <c r="N525" s="261">
        <v>0</v>
      </c>
      <c r="O525" s="261">
        <v>354907591</v>
      </c>
      <c r="P525" s="261"/>
      <c r="Q525" s="177">
        <f t="shared" si="240"/>
        <v>0</v>
      </c>
      <c r="R525" s="261"/>
      <c r="T525" s="185">
        <v>3050155</v>
      </c>
      <c r="U525" s="259" t="s">
        <v>1292</v>
      </c>
      <c r="V525" s="261">
        <v>0</v>
      </c>
      <c r="W525" s="261">
        <v>0</v>
      </c>
      <c r="X525" s="261">
        <v>0</v>
      </c>
      <c r="Y525" s="261">
        <v>354907591</v>
      </c>
      <c r="Z525" s="261">
        <v>354907591</v>
      </c>
      <c r="AA525" s="261">
        <v>0</v>
      </c>
      <c r="AB525" s="261">
        <v>354907591</v>
      </c>
      <c r="AC525" s="261">
        <v>0</v>
      </c>
      <c r="AD525" s="261">
        <v>0</v>
      </c>
      <c r="AE525" s="261">
        <v>322730000</v>
      </c>
      <c r="AF525" s="261">
        <v>32177591</v>
      </c>
      <c r="AG525" s="261">
        <v>0</v>
      </c>
      <c r="AH525" s="261">
        <v>354907591</v>
      </c>
      <c r="AI525" s="261">
        <v>0</v>
      </c>
      <c r="AJ525" s="261">
        <v>0</v>
      </c>
      <c r="AK525" s="261">
        <v>0</v>
      </c>
      <c r="AL525" s="261">
        <v>0</v>
      </c>
      <c r="AM525" s="261">
        <v>354907591</v>
      </c>
      <c r="AN525" s="261">
        <v>354907591</v>
      </c>
      <c r="AO525" s="261">
        <v>0</v>
      </c>
      <c r="AP525" s="261">
        <v>0</v>
      </c>
      <c r="AQ525" s="261"/>
      <c r="AS525" s="261"/>
    </row>
    <row r="526" spans="1:45" x14ac:dyDescent="0.25">
      <c r="A526" s="185">
        <v>3050156</v>
      </c>
      <c r="B526" s="259" t="s">
        <v>1293</v>
      </c>
      <c r="C526" s="261"/>
      <c r="D526" s="261"/>
      <c r="E526" s="261"/>
      <c r="F526" s="261">
        <v>68903277</v>
      </c>
      <c r="G526" s="261">
        <f t="shared" si="238"/>
        <v>68903277</v>
      </c>
      <c r="H526" s="261">
        <v>15104400</v>
      </c>
      <c r="I526" s="261">
        <v>15104400</v>
      </c>
      <c r="J526" s="261">
        <f t="shared" si="239"/>
        <v>53798877</v>
      </c>
      <c r="K526" s="261">
        <v>0</v>
      </c>
      <c r="L526" s="261">
        <v>0</v>
      </c>
      <c r="M526" s="261"/>
      <c r="N526" s="261">
        <v>22162577</v>
      </c>
      <c r="O526" s="261">
        <v>39287337</v>
      </c>
      <c r="P526" s="261"/>
      <c r="Q526" s="177">
        <f t="shared" si="240"/>
        <v>29615940</v>
      </c>
      <c r="R526" s="261"/>
      <c r="T526" s="185">
        <v>3050156</v>
      </c>
      <c r="U526" s="259" t="s">
        <v>1293</v>
      </c>
      <c r="V526" s="261">
        <v>0</v>
      </c>
      <c r="W526" s="261">
        <v>0</v>
      </c>
      <c r="X526" s="261">
        <v>0</v>
      </c>
      <c r="Y526" s="261">
        <v>68903277</v>
      </c>
      <c r="Z526" s="261">
        <v>68903277</v>
      </c>
      <c r="AA526" s="261">
        <v>15104400</v>
      </c>
      <c r="AB526" s="261">
        <v>15104400</v>
      </c>
      <c r="AC526" s="261">
        <v>53798877</v>
      </c>
      <c r="AD526" s="261">
        <v>0</v>
      </c>
      <c r="AE526" s="261">
        <v>0</v>
      </c>
      <c r="AF526" s="261">
        <v>15104400</v>
      </c>
      <c r="AG526" s="261">
        <v>22162577</v>
      </c>
      <c r="AH526" s="261">
        <v>39287337</v>
      </c>
      <c r="AI526" s="261">
        <v>24182937</v>
      </c>
      <c r="AJ526" s="261">
        <v>29615940</v>
      </c>
      <c r="AK526" s="261">
        <v>0</v>
      </c>
      <c r="AL526" s="261">
        <v>22162577</v>
      </c>
      <c r="AM526" s="261">
        <v>39287337</v>
      </c>
      <c r="AN526" s="261">
        <v>39287337</v>
      </c>
      <c r="AO526" s="261">
        <v>39287337</v>
      </c>
      <c r="AP526" s="261">
        <v>29615940</v>
      </c>
      <c r="AQ526" s="261"/>
      <c r="AS526" s="261"/>
    </row>
    <row r="527" spans="1:45" x14ac:dyDescent="0.25">
      <c r="A527" s="185">
        <v>3050157</v>
      </c>
      <c r="B527" s="259" t="s">
        <v>1294</v>
      </c>
      <c r="C527" s="261"/>
      <c r="D527" s="261"/>
      <c r="E527" s="261"/>
      <c r="F527" s="261">
        <v>9221343</v>
      </c>
      <c r="G527" s="261">
        <f t="shared" si="238"/>
        <v>9221343</v>
      </c>
      <c r="H527" s="261">
        <v>0</v>
      </c>
      <c r="I527" s="261">
        <v>0</v>
      </c>
      <c r="J527" s="261">
        <f t="shared" si="239"/>
        <v>9221343</v>
      </c>
      <c r="K527" s="261">
        <v>0</v>
      </c>
      <c r="L527" s="261">
        <v>0</v>
      </c>
      <c r="M527" s="261"/>
      <c r="N527" s="261">
        <v>9221343</v>
      </c>
      <c r="O527" s="261">
        <v>9221343</v>
      </c>
      <c r="P527" s="261"/>
      <c r="Q527" s="177">
        <f t="shared" si="240"/>
        <v>0</v>
      </c>
      <c r="R527" s="261"/>
      <c r="T527" s="185">
        <v>3050157</v>
      </c>
      <c r="U527" s="259" t="s">
        <v>1294</v>
      </c>
      <c r="V527" s="261">
        <v>0</v>
      </c>
      <c r="W527" s="261">
        <v>0</v>
      </c>
      <c r="X527" s="261">
        <v>0</v>
      </c>
      <c r="Y527" s="261">
        <v>9221343</v>
      </c>
      <c r="Z527" s="261">
        <v>9221343</v>
      </c>
      <c r="AA527" s="261">
        <v>0</v>
      </c>
      <c r="AB527" s="261">
        <v>0</v>
      </c>
      <c r="AC527" s="261">
        <v>9221343</v>
      </c>
      <c r="AD527" s="261">
        <v>0</v>
      </c>
      <c r="AE527" s="261">
        <v>0</v>
      </c>
      <c r="AF527" s="261">
        <v>0</v>
      </c>
      <c r="AG527" s="261">
        <v>9221343</v>
      </c>
      <c r="AH527" s="261">
        <v>9221343</v>
      </c>
      <c r="AI527" s="261">
        <v>9221343</v>
      </c>
      <c r="AJ527" s="261">
        <v>0</v>
      </c>
      <c r="AK527" s="261">
        <v>0</v>
      </c>
      <c r="AL527" s="261">
        <v>9221343</v>
      </c>
      <c r="AM527" s="261">
        <v>9221343</v>
      </c>
      <c r="AN527" s="261">
        <v>9221343</v>
      </c>
      <c r="AO527" s="261">
        <v>9221343</v>
      </c>
      <c r="AP527" s="261">
        <v>0</v>
      </c>
      <c r="AQ527" s="261"/>
      <c r="AS527" s="261"/>
    </row>
    <row r="528" spans="1:45" x14ac:dyDescent="0.25">
      <c r="A528" s="185">
        <v>3050158</v>
      </c>
      <c r="B528" s="259" t="s">
        <v>1295</v>
      </c>
      <c r="C528" s="261"/>
      <c r="D528" s="261"/>
      <c r="E528" s="261"/>
      <c r="F528" s="261">
        <v>14531979</v>
      </c>
      <c r="G528" s="261">
        <f t="shared" si="238"/>
        <v>14531979</v>
      </c>
      <c r="H528" s="261">
        <v>0</v>
      </c>
      <c r="I528" s="261">
        <v>0</v>
      </c>
      <c r="J528" s="261">
        <f t="shared" si="239"/>
        <v>14531979</v>
      </c>
      <c r="K528" s="261">
        <v>0</v>
      </c>
      <c r="L528" s="261">
        <v>0</v>
      </c>
      <c r="M528" s="261"/>
      <c r="N528" s="261">
        <v>0</v>
      </c>
      <c r="O528" s="261">
        <v>0</v>
      </c>
      <c r="P528" s="261"/>
      <c r="Q528" s="177">
        <f t="shared" si="240"/>
        <v>14531979</v>
      </c>
      <c r="R528" s="261"/>
      <c r="T528" s="185">
        <v>3050158</v>
      </c>
      <c r="U528" s="259" t="s">
        <v>1295</v>
      </c>
      <c r="V528" s="261">
        <v>0</v>
      </c>
      <c r="W528" s="261">
        <v>0</v>
      </c>
      <c r="X528" s="261">
        <v>0</v>
      </c>
      <c r="Y528" s="261">
        <v>14531979</v>
      </c>
      <c r="Z528" s="261">
        <v>14531979</v>
      </c>
      <c r="AA528" s="261">
        <v>0</v>
      </c>
      <c r="AB528" s="261">
        <v>0</v>
      </c>
      <c r="AC528" s="261">
        <v>14531979</v>
      </c>
      <c r="AD528" s="261">
        <v>0</v>
      </c>
      <c r="AE528" s="261">
        <v>0</v>
      </c>
      <c r="AF528" s="261">
        <v>0</v>
      </c>
      <c r="AG528" s="261">
        <v>0</v>
      </c>
      <c r="AH528" s="261">
        <v>0</v>
      </c>
      <c r="AI528" s="261">
        <v>0</v>
      </c>
      <c r="AJ528" s="261">
        <v>14531979</v>
      </c>
      <c r="AK528" s="261">
        <v>0</v>
      </c>
      <c r="AL528" s="261">
        <v>0</v>
      </c>
      <c r="AM528" s="261">
        <v>0</v>
      </c>
      <c r="AN528" s="261">
        <v>0</v>
      </c>
      <c r="AO528" s="261">
        <v>0</v>
      </c>
      <c r="AP528" s="261">
        <v>14531979</v>
      </c>
      <c r="AQ528" s="261"/>
      <c r="AS528" s="261"/>
    </row>
    <row r="529" spans="1:45" x14ac:dyDescent="0.25">
      <c r="A529" s="185">
        <v>3050159</v>
      </c>
      <c r="B529" s="259" t="s">
        <v>1296</v>
      </c>
      <c r="C529" s="261"/>
      <c r="D529" s="261"/>
      <c r="E529" s="261"/>
      <c r="F529" s="261">
        <v>26341459</v>
      </c>
      <c r="G529" s="261">
        <f t="shared" si="238"/>
        <v>26341459</v>
      </c>
      <c r="H529" s="261">
        <v>2112849</v>
      </c>
      <c r="I529" s="261">
        <v>2112849</v>
      </c>
      <c r="J529" s="261">
        <f t="shared" si="239"/>
        <v>24228610</v>
      </c>
      <c r="K529" s="261">
        <v>2112849</v>
      </c>
      <c r="L529" s="261">
        <v>2112849</v>
      </c>
      <c r="M529" s="261"/>
      <c r="N529" s="261">
        <v>2112849</v>
      </c>
      <c r="O529" s="261">
        <v>2112849</v>
      </c>
      <c r="P529" s="261"/>
      <c r="Q529" s="177">
        <f t="shared" si="240"/>
        <v>24228610</v>
      </c>
      <c r="R529" s="261"/>
      <c r="T529" s="185">
        <v>3050159</v>
      </c>
      <c r="U529" s="259" t="s">
        <v>1296</v>
      </c>
      <c r="V529" s="261">
        <v>0</v>
      </c>
      <c r="W529" s="261">
        <v>0</v>
      </c>
      <c r="X529" s="261">
        <v>0</v>
      </c>
      <c r="Y529" s="261">
        <v>26341459</v>
      </c>
      <c r="Z529" s="261">
        <v>26341459</v>
      </c>
      <c r="AA529" s="261">
        <v>2112849</v>
      </c>
      <c r="AB529" s="261">
        <v>2112849</v>
      </c>
      <c r="AC529" s="261">
        <v>24228610</v>
      </c>
      <c r="AD529" s="261">
        <v>2112849</v>
      </c>
      <c r="AE529" s="261">
        <v>2112849</v>
      </c>
      <c r="AF529" s="261">
        <v>0</v>
      </c>
      <c r="AG529" s="261">
        <v>2112849</v>
      </c>
      <c r="AH529" s="261">
        <v>2112849</v>
      </c>
      <c r="AI529" s="261">
        <v>0</v>
      </c>
      <c r="AJ529" s="261">
        <v>24228610</v>
      </c>
      <c r="AK529" s="261">
        <v>0</v>
      </c>
      <c r="AL529" s="261">
        <v>2112849</v>
      </c>
      <c r="AM529" s="261">
        <v>2112849</v>
      </c>
      <c r="AN529" s="261">
        <v>2112849</v>
      </c>
      <c r="AO529" s="261">
        <v>0</v>
      </c>
      <c r="AP529" s="261">
        <v>24228610</v>
      </c>
      <c r="AQ529" s="261"/>
      <c r="AS529" s="261"/>
    </row>
    <row r="530" spans="1:45" x14ac:dyDescent="0.25">
      <c r="A530" s="185">
        <v>3050160</v>
      </c>
      <c r="B530" s="259" t="s">
        <v>1297</v>
      </c>
      <c r="C530" s="261"/>
      <c r="D530" s="261"/>
      <c r="E530" s="261"/>
      <c r="F530" s="261">
        <v>1520000</v>
      </c>
      <c r="G530" s="261">
        <f t="shared" si="238"/>
        <v>1520000</v>
      </c>
      <c r="H530" s="261">
        <v>0</v>
      </c>
      <c r="I530" s="261">
        <v>0</v>
      </c>
      <c r="J530" s="261">
        <f t="shared" si="239"/>
        <v>1520000</v>
      </c>
      <c r="K530" s="261">
        <v>0</v>
      </c>
      <c r="L530" s="261">
        <v>0</v>
      </c>
      <c r="M530" s="261"/>
      <c r="N530" s="261">
        <v>0</v>
      </c>
      <c r="O530" s="261">
        <v>0</v>
      </c>
      <c r="P530" s="261"/>
      <c r="Q530" s="177">
        <f t="shared" si="240"/>
        <v>1520000</v>
      </c>
      <c r="R530" s="261"/>
      <c r="T530" s="185">
        <v>3050160</v>
      </c>
      <c r="U530" s="259" t="s">
        <v>1297</v>
      </c>
      <c r="V530" s="261">
        <v>0</v>
      </c>
      <c r="W530" s="261">
        <v>0</v>
      </c>
      <c r="X530" s="261">
        <v>0</v>
      </c>
      <c r="Y530" s="261">
        <v>1520000</v>
      </c>
      <c r="Z530" s="261">
        <v>1520000</v>
      </c>
      <c r="AA530" s="261">
        <v>0</v>
      </c>
      <c r="AB530" s="261">
        <v>0</v>
      </c>
      <c r="AC530" s="261">
        <v>1520000</v>
      </c>
      <c r="AD530" s="261">
        <v>0</v>
      </c>
      <c r="AE530" s="261">
        <v>0</v>
      </c>
      <c r="AF530" s="261">
        <v>0</v>
      </c>
      <c r="AG530" s="261">
        <v>0</v>
      </c>
      <c r="AH530" s="261">
        <v>0</v>
      </c>
      <c r="AI530" s="261">
        <v>0</v>
      </c>
      <c r="AJ530" s="261">
        <v>1520000</v>
      </c>
      <c r="AK530" s="261">
        <v>0</v>
      </c>
      <c r="AL530" s="261">
        <v>0</v>
      </c>
      <c r="AM530" s="261">
        <v>0</v>
      </c>
      <c r="AN530" s="261">
        <v>0</v>
      </c>
      <c r="AO530" s="261">
        <v>0</v>
      </c>
      <c r="AP530" s="261">
        <v>1520000</v>
      </c>
      <c r="AQ530" s="261"/>
      <c r="AS530" s="261"/>
    </row>
    <row r="531" spans="1:45" x14ac:dyDescent="0.25">
      <c r="A531" s="185">
        <v>3050161</v>
      </c>
      <c r="B531" s="259" t="s">
        <v>1298</v>
      </c>
      <c r="C531" s="261"/>
      <c r="D531" s="261"/>
      <c r="E531" s="261"/>
      <c r="F531" s="261">
        <v>557609980</v>
      </c>
      <c r="G531" s="261">
        <f t="shared" si="238"/>
        <v>557609980</v>
      </c>
      <c r="H531" s="261">
        <v>75000000</v>
      </c>
      <c r="I531" s="261">
        <v>75000000</v>
      </c>
      <c r="J531" s="261">
        <f t="shared" si="239"/>
        <v>482609980</v>
      </c>
      <c r="K531" s="261">
        <v>0</v>
      </c>
      <c r="L531" s="261">
        <v>0</v>
      </c>
      <c r="M531" s="261"/>
      <c r="N531" s="261">
        <v>75000000</v>
      </c>
      <c r="O531" s="261">
        <v>84823732</v>
      </c>
      <c r="P531" s="261"/>
      <c r="Q531" s="177">
        <f t="shared" si="240"/>
        <v>472786248</v>
      </c>
      <c r="R531" s="261"/>
      <c r="T531" s="185">
        <v>3050161</v>
      </c>
      <c r="U531" s="259" t="s">
        <v>1298</v>
      </c>
      <c r="V531" s="261">
        <v>0</v>
      </c>
      <c r="W531" s="261">
        <v>0</v>
      </c>
      <c r="X531" s="261">
        <v>0</v>
      </c>
      <c r="Y531" s="261">
        <v>557609980</v>
      </c>
      <c r="Z531" s="261">
        <v>557609980</v>
      </c>
      <c r="AA531" s="261">
        <v>75000000</v>
      </c>
      <c r="AB531" s="261">
        <v>75000000</v>
      </c>
      <c r="AC531" s="261">
        <v>482609980</v>
      </c>
      <c r="AD531" s="261">
        <v>0</v>
      </c>
      <c r="AE531" s="261">
        <v>0</v>
      </c>
      <c r="AF531" s="261">
        <v>75000000</v>
      </c>
      <c r="AG531" s="261">
        <v>75000000</v>
      </c>
      <c r="AH531" s="261">
        <v>84823732</v>
      </c>
      <c r="AI531" s="261">
        <v>9823732</v>
      </c>
      <c r="AJ531" s="261">
        <v>472786248</v>
      </c>
      <c r="AK531" s="261">
        <v>0</v>
      </c>
      <c r="AL531" s="261">
        <v>0</v>
      </c>
      <c r="AM531" s="261">
        <v>9823732</v>
      </c>
      <c r="AN531" s="261">
        <v>9823732</v>
      </c>
      <c r="AO531" s="261">
        <v>9823732</v>
      </c>
      <c r="AP531" s="261">
        <v>547786248</v>
      </c>
      <c r="AQ531" s="261"/>
      <c r="AS531" s="261"/>
    </row>
    <row r="532" spans="1:45" x14ac:dyDescent="0.25">
      <c r="A532" s="185">
        <v>3050162</v>
      </c>
      <c r="B532" s="259" t="s">
        <v>1299</v>
      </c>
      <c r="C532" s="261"/>
      <c r="D532" s="261"/>
      <c r="E532" s="261"/>
      <c r="F532" s="261">
        <v>3773489</v>
      </c>
      <c r="G532" s="261">
        <f t="shared" si="238"/>
        <v>3773489</v>
      </c>
      <c r="H532" s="261">
        <v>0</v>
      </c>
      <c r="I532" s="261">
        <v>0</v>
      </c>
      <c r="J532" s="261">
        <f t="shared" si="239"/>
        <v>3773489</v>
      </c>
      <c r="K532" s="261">
        <v>0</v>
      </c>
      <c r="L532" s="261">
        <v>0</v>
      </c>
      <c r="M532" s="261"/>
      <c r="N532" s="261">
        <v>0</v>
      </c>
      <c r="O532" s="261">
        <v>0</v>
      </c>
      <c r="P532" s="261"/>
      <c r="Q532" s="177">
        <f t="shared" si="240"/>
        <v>3773489</v>
      </c>
      <c r="R532" s="261"/>
      <c r="T532" s="185">
        <v>3050162</v>
      </c>
      <c r="U532" s="259" t="s">
        <v>1299</v>
      </c>
      <c r="V532" s="261">
        <v>0</v>
      </c>
      <c r="W532" s="261">
        <v>0</v>
      </c>
      <c r="X532" s="261">
        <v>0</v>
      </c>
      <c r="Y532" s="261">
        <v>3773489</v>
      </c>
      <c r="Z532" s="261">
        <v>3773489</v>
      </c>
      <c r="AA532" s="261">
        <v>0</v>
      </c>
      <c r="AB532" s="261">
        <v>0</v>
      </c>
      <c r="AC532" s="261">
        <v>3773489</v>
      </c>
      <c r="AD532" s="261">
        <v>0</v>
      </c>
      <c r="AE532" s="261">
        <v>0</v>
      </c>
      <c r="AF532" s="261">
        <v>0</v>
      </c>
      <c r="AG532" s="261">
        <v>0</v>
      </c>
      <c r="AH532" s="261">
        <v>0</v>
      </c>
      <c r="AI532" s="261">
        <v>0</v>
      </c>
      <c r="AJ532" s="261">
        <v>3773489</v>
      </c>
      <c r="AK532" s="261">
        <v>0</v>
      </c>
      <c r="AL532" s="261">
        <v>0</v>
      </c>
      <c r="AM532" s="261">
        <v>0</v>
      </c>
      <c r="AN532" s="261">
        <v>0</v>
      </c>
      <c r="AO532" s="261">
        <v>0</v>
      </c>
      <c r="AP532" s="261">
        <v>3773489</v>
      </c>
      <c r="AQ532" s="261"/>
      <c r="AS532" s="261"/>
    </row>
    <row r="533" spans="1:45" x14ac:dyDescent="0.25">
      <c r="A533" s="185">
        <v>3050163</v>
      </c>
      <c r="B533" s="259" t="s">
        <v>1300</v>
      </c>
      <c r="C533" s="261"/>
      <c r="D533" s="261"/>
      <c r="E533" s="261"/>
      <c r="F533" s="261">
        <v>9318607</v>
      </c>
      <c r="G533" s="261">
        <f t="shared" si="238"/>
        <v>9318607</v>
      </c>
      <c r="H533" s="261">
        <v>0</v>
      </c>
      <c r="I533" s="261">
        <v>0</v>
      </c>
      <c r="J533" s="261">
        <f t="shared" si="239"/>
        <v>9318607</v>
      </c>
      <c r="K533" s="261">
        <v>0</v>
      </c>
      <c r="L533" s="261">
        <v>0</v>
      </c>
      <c r="M533" s="261"/>
      <c r="N533" s="261">
        <v>0</v>
      </c>
      <c r="O533" s="261">
        <v>0</v>
      </c>
      <c r="P533" s="261"/>
      <c r="Q533" s="177">
        <f t="shared" si="240"/>
        <v>9318607</v>
      </c>
      <c r="R533" s="261"/>
      <c r="T533" s="185">
        <v>3050163</v>
      </c>
      <c r="U533" s="259" t="s">
        <v>1300</v>
      </c>
      <c r="V533" s="261">
        <v>0</v>
      </c>
      <c r="W533" s="261">
        <v>0</v>
      </c>
      <c r="X533" s="261">
        <v>0</v>
      </c>
      <c r="Y533" s="261">
        <v>9318607</v>
      </c>
      <c r="Z533" s="261">
        <v>9318607</v>
      </c>
      <c r="AA533" s="261">
        <v>0</v>
      </c>
      <c r="AB533" s="261">
        <v>0</v>
      </c>
      <c r="AC533" s="261">
        <v>9318607</v>
      </c>
      <c r="AD533" s="261">
        <v>0</v>
      </c>
      <c r="AE533" s="261">
        <v>0</v>
      </c>
      <c r="AF533" s="261">
        <v>0</v>
      </c>
      <c r="AG533" s="261">
        <v>0</v>
      </c>
      <c r="AH533" s="261">
        <v>0</v>
      </c>
      <c r="AI533" s="261">
        <v>0</v>
      </c>
      <c r="AJ533" s="261">
        <v>9318607</v>
      </c>
      <c r="AK533" s="261">
        <v>0</v>
      </c>
      <c r="AL533" s="261">
        <v>0</v>
      </c>
      <c r="AM533" s="261">
        <v>0</v>
      </c>
      <c r="AN533" s="261">
        <v>0</v>
      </c>
      <c r="AO533" s="261">
        <v>0</v>
      </c>
      <c r="AP533" s="261">
        <v>9318607</v>
      </c>
      <c r="AQ533" s="261"/>
      <c r="AS533" s="261"/>
    </row>
    <row r="534" spans="1:45" x14ac:dyDescent="0.25">
      <c r="A534" s="185">
        <v>3050164</v>
      </c>
      <c r="B534" s="259" t="s">
        <v>1301</v>
      </c>
      <c r="C534" s="261"/>
      <c r="D534" s="261"/>
      <c r="E534" s="261"/>
      <c r="F534" s="261">
        <v>125000</v>
      </c>
      <c r="G534" s="261">
        <f t="shared" si="238"/>
        <v>125000</v>
      </c>
      <c r="H534" s="261">
        <v>0</v>
      </c>
      <c r="I534" s="261">
        <v>0</v>
      </c>
      <c r="J534" s="261">
        <f t="shared" si="239"/>
        <v>125000</v>
      </c>
      <c r="K534" s="261">
        <v>0</v>
      </c>
      <c r="L534" s="261">
        <v>0</v>
      </c>
      <c r="M534" s="261"/>
      <c r="N534" s="261">
        <v>0</v>
      </c>
      <c r="O534" s="261">
        <v>0</v>
      </c>
      <c r="P534" s="261"/>
      <c r="Q534" s="177">
        <f t="shared" si="240"/>
        <v>125000</v>
      </c>
      <c r="R534" s="261"/>
      <c r="T534" s="185">
        <v>3050164</v>
      </c>
      <c r="U534" s="259" t="s">
        <v>1301</v>
      </c>
      <c r="V534" s="261">
        <v>0</v>
      </c>
      <c r="W534" s="261">
        <v>0</v>
      </c>
      <c r="X534" s="261">
        <v>0</v>
      </c>
      <c r="Y534" s="261">
        <v>125000</v>
      </c>
      <c r="Z534" s="261">
        <v>125000</v>
      </c>
      <c r="AA534" s="261">
        <v>0</v>
      </c>
      <c r="AB534" s="261">
        <v>0</v>
      </c>
      <c r="AC534" s="261">
        <v>125000</v>
      </c>
      <c r="AD534" s="261">
        <v>0</v>
      </c>
      <c r="AE534" s="261">
        <v>0</v>
      </c>
      <c r="AF534" s="261">
        <v>0</v>
      </c>
      <c r="AG534" s="261">
        <v>0</v>
      </c>
      <c r="AH534" s="261">
        <v>0</v>
      </c>
      <c r="AI534" s="261">
        <v>0</v>
      </c>
      <c r="AJ534" s="261">
        <v>125000</v>
      </c>
      <c r="AK534" s="261">
        <v>0</v>
      </c>
      <c r="AL534" s="261">
        <v>0</v>
      </c>
      <c r="AM534" s="261">
        <v>0</v>
      </c>
      <c r="AN534" s="261">
        <v>0</v>
      </c>
      <c r="AO534" s="261">
        <v>0</v>
      </c>
      <c r="AP534" s="261">
        <v>125000</v>
      </c>
      <c r="AQ534" s="261"/>
      <c r="AS534" s="261"/>
    </row>
    <row r="535" spans="1:45" x14ac:dyDescent="0.25">
      <c r="A535" s="185">
        <v>3050165</v>
      </c>
      <c r="B535" s="259" t="s">
        <v>1302</v>
      </c>
      <c r="C535" s="261"/>
      <c r="D535" s="261"/>
      <c r="E535" s="261"/>
      <c r="F535" s="261">
        <v>117747158</v>
      </c>
      <c r="G535" s="261">
        <f t="shared" ref="G535:G579" si="241">+C535+D535-E535+F535</f>
        <v>117747158</v>
      </c>
      <c r="H535" s="261">
        <v>117747158</v>
      </c>
      <c r="I535" s="261">
        <v>117747158</v>
      </c>
      <c r="J535" s="261">
        <f t="shared" si="239"/>
        <v>0</v>
      </c>
      <c r="K535" s="261">
        <v>0</v>
      </c>
      <c r="L535" s="261">
        <v>0</v>
      </c>
      <c r="M535" s="261"/>
      <c r="N535" s="261">
        <v>0</v>
      </c>
      <c r="O535" s="261">
        <v>117747158</v>
      </c>
      <c r="P535" s="261"/>
      <c r="Q535" s="177">
        <f t="shared" si="240"/>
        <v>0</v>
      </c>
      <c r="R535" s="261"/>
      <c r="T535" s="185">
        <v>3050165</v>
      </c>
      <c r="U535" s="259" t="s">
        <v>1302</v>
      </c>
      <c r="V535" s="261">
        <v>0</v>
      </c>
      <c r="W535" s="261">
        <v>0</v>
      </c>
      <c r="X535" s="261">
        <v>0</v>
      </c>
      <c r="Y535" s="261">
        <v>117747158</v>
      </c>
      <c r="Z535" s="261">
        <v>117747158</v>
      </c>
      <c r="AA535" s="261">
        <v>117747158</v>
      </c>
      <c r="AB535" s="261">
        <v>117747158</v>
      </c>
      <c r="AC535" s="261">
        <v>0</v>
      </c>
      <c r="AD535" s="261">
        <v>0</v>
      </c>
      <c r="AE535" s="261">
        <v>0</v>
      </c>
      <c r="AF535" s="261">
        <v>117747158</v>
      </c>
      <c r="AG535" s="261">
        <v>0</v>
      </c>
      <c r="AH535" s="261">
        <v>117747158</v>
      </c>
      <c r="AI535" s="261">
        <v>0</v>
      </c>
      <c r="AJ535" s="261">
        <v>0</v>
      </c>
      <c r="AK535" s="261">
        <v>0</v>
      </c>
      <c r="AL535" s="261">
        <v>0</v>
      </c>
      <c r="AM535" s="261">
        <v>117747158</v>
      </c>
      <c r="AN535" s="261">
        <v>117747158</v>
      </c>
      <c r="AO535" s="261">
        <v>0</v>
      </c>
      <c r="AP535" s="261">
        <v>0</v>
      </c>
      <c r="AQ535" s="261"/>
      <c r="AS535" s="261"/>
    </row>
    <row r="536" spans="1:45" x14ac:dyDescent="0.25">
      <c r="A536" s="185">
        <v>3050166</v>
      </c>
      <c r="B536" s="259" t="s">
        <v>1303</v>
      </c>
      <c r="C536" s="261"/>
      <c r="D536" s="261"/>
      <c r="E536" s="261"/>
      <c r="F536" s="261">
        <v>8349732</v>
      </c>
      <c r="G536" s="261">
        <f t="shared" si="241"/>
        <v>8349732</v>
      </c>
      <c r="H536" s="261">
        <v>0</v>
      </c>
      <c r="I536" s="261">
        <v>0</v>
      </c>
      <c r="J536" s="261">
        <f t="shared" si="239"/>
        <v>8349732</v>
      </c>
      <c r="K536" s="261">
        <v>0</v>
      </c>
      <c r="L536" s="261">
        <v>0</v>
      </c>
      <c r="M536" s="261"/>
      <c r="N536" s="261">
        <v>0</v>
      </c>
      <c r="O536" s="261">
        <v>0</v>
      </c>
      <c r="P536" s="261"/>
      <c r="Q536" s="177">
        <f t="shared" si="240"/>
        <v>8349732</v>
      </c>
      <c r="R536" s="261"/>
      <c r="T536" s="185">
        <v>3050166</v>
      </c>
      <c r="U536" s="259" t="s">
        <v>1303</v>
      </c>
      <c r="V536" s="261">
        <v>0</v>
      </c>
      <c r="W536" s="261">
        <v>0</v>
      </c>
      <c r="X536" s="261">
        <v>0</v>
      </c>
      <c r="Y536" s="261">
        <v>8349732</v>
      </c>
      <c r="Z536" s="261">
        <v>8349732</v>
      </c>
      <c r="AA536" s="261">
        <v>0</v>
      </c>
      <c r="AB536" s="261">
        <v>0</v>
      </c>
      <c r="AC536" s="261">
        <v>8349732</v>
      </c>
      <c r="AD536" s="261">
        <v>0</v>
      </c>
      <c r="AE536" s="261">
        <v>0</v>
      </c>
      <c r="AF536" s="261">
        <v>0</v>
      </c>
      <c r="AG536" s="261">
        <v>0</v>
      </c>
      <c r="AH536" s="261">
        <v>0</v>
      </c>
      <c r="AI536" s="261">
        <v>0</v>
      </c>
      <c r="AJ536" s="261">
        <v>8349732</v>
      </c>
      <c r="AK536" s="261">
        <v>0</v>
      </c>
      <c r="AL536" s="261">
        <v>0</v>
      </c>
      <c r="AM536" s="261">
        <v>0</v>
      </c>
      <c r="AN536" s="261">
        <v>0</v>
      </c>
      <c r="AO536" s="261">
        <v>0</v>
      </c>
      <c r="AP536" s="261">
        <v>8349732</v>
      </c>
      <c r="AQ536" s="261"/>
      <c r="AS536" s="261"/>
    </row>
    <row r="537" spans="1:45" x14ac:dyDescent="0.25">
      <c r="A537" s="185">
        <v>3050167</v>
      </c>
      <c r="B537" s="259" t="s">
        <v>1304</v>
      </c>
      <c r="C537" s="261"/>
      <c r="D537" s="261"/>
      <c r="E537" s="261"/>
      <c r="F537" s="261">
        <v>36815201</v>
      </c>
      <c r="G537" s="261">
        <f t="shared" si="241"/>
        <v>36815201</v>
      </c>
      <c r="H537" s="261">
        <v>28275417</v>
      </c>
      <c r="I537" s="261">
        <v>28275417</v>
      </c>
      <c r="J537" s="261">
        <f t="shared" si="239"/>
        <v>8539784</v>
      </c>
      <c r="K537" s="261">
        <v>0</v>
      </c>
      <c r="L537" s="261">
        <v>0</v>
      </c>
      <c r="M537" s="261"/>
      <c r="N537" s="261">
        <v>28275417</v>
      </c>
      <c r="O537" s="261">
        <v>28275417</v>
      </c>
      <c r="P537" s="261"/>
      <c r="Q537" s="177">
        <f t="shared" si="240"/>
        <v>8539784</v>
      </c>
      <c r="R537" s="261"/>
      <c r="T537" s="185">
        <v>3050167</v>
      </c>
      <c r="U537" s="259" t="s">
        <v>1304</v>
      </c>
      <c r="V537" s="261">
        <v>0</v>
      </c>
      <c r="W537" s="261">
        <v>0</v>
      </c>
      <c r="X537" s="261">
        <v>0</v>
      </c>
      <c r="Y537" s="261">
        <v>36815201</v>
      </c>
      <c r="Z537" s="261">
        <v>36815201</v>
      </c>
      <c r="AA537" s="261">
        <v>28275417</v>
      </c>
      <c r="AB537" s="261">
        <v>28275417</v>
      </c>
      <c r="AC537" s="261">
        <v>8539784</v>
      </c>
      <c r="AD537" s="261">
        <v>0</v>
      </c>
      <c r="AE537" s="261">
        <v>0</v>
      </c>
      <c r="AF537" s="261">
        <v>28275417</v>
      </c>
      <c r="AG537" s="261">
        <v>28275417</v>
      </c>
      <c r="AH537" s="261">
        <v>28275417</v>
      </c>
      <c r="AI537" s="261">
        <v>0</v>
      </c>
      <c r="AJ537" s="261">
        <v>8539784</v>
      </c>
      <c r="AK537" s="261">
        <v>0</v>
      </c>
      <c r="AL537" s="261">
        <v>28275417</v>
      </c>
      <c r="AM537" s="261">
        <v>28275417</v>
      </c>
      <c r="AN537" s="261">
        <v>28275417</v>
      </c>
      <c r="AO537" s="261">
        <v>0</v>
      </c>
      <c r="AP537" s="261">
        <v>8539784</v>
      </c>
      <c r="AQ537" s="261"/>
      <c r="AS537" s="261"/>
    </row>
    <row r="538" spans="1:45" x14ac:dyDescent="0.25">
      <c r="A538" s="185">
        <v>3050168</v>
      </c>
      <c r="B538" s="259" t="s">
        <v>1305</v>
      </c>
      <c r="C538" s="261"/>
      <c r="D538" s="261"/>
      <c r="E538" s="261"/>
      <c r="F538" s="261">
        <v>55515435.939999998</v>
      </c>
      <c r="G538" s="261">
        <f t="shared" si="241"/>
        <v>55515435.939999998</v>
      </c>
      <c r="H538" s="261">
        <v>0</v>
      </c>
      <c r="I538" s="261">
        <v>0</v>
      </c>
      <c r="J538" s="261">
        <f t="shared" si="239"/>
        <v>55515435.939999998</v>
      </c>
      <c r="K538" s="261">
        <v>0</v>
      </c>
      <c r="L538" s="261">
        <v>0</v>
      </c>
      <c r="M538" s="261"/>
      <c r="N538" s="261">
        <v>0</v>
      </c>
      <c r="O538" s="261">
        <v>0</v>
      </c>
      <c r="P538" s="261"/>
      <c r="Q538" s="177">
        <f t="shared" si="240"/>
        <v>55515435.939999998</v>
      </c>
      <c r="R538" s="261"/>
      <c r="T538" s="185">
        <v>3050168</v>
      </c>
      <c r="U538" s="259" t="s">
        <v>1305</v>
      </c>
      <c r="V538" s="261">
        <v>0</v>
      </c>
      <c r="W538" s="261">
        <v>0</v>
      </c>
      <c r="X538" s="261">
        <v>0</v>
      </c>
      <c r="Y538" s="261">
        <v>55515435.939999998</v>
      </c>
      <c r="Z538" s="261">
        <v>55515435.939999998</v>
      </c>
      <c r="AA538" s="261">
        <v>0</v>
      </c>
      <c r="AB538" s="261">
        <v>0</v>
      </c>
      <c r="AC538" s="261">
        <v>55515435.939999998</v>
      </c>
      <c r="AD538" s="261">
        <v>0</v>
      </c>
      <c r="AE538" s="261">
        <v>0</v>
      </c>
      <c r="AF538" s="261">
        <v>0</v>
      </c>
      <c r="AG538" s="261">
        <v>0</v>
      </c>
      <c r="AH538" s="261">
        <v>0</v>
      </c>
      <c r="AI538" s="261">
        <v>0</v>
      </c>
      <c r="AJ538" s="261">
        <v>55515435.939999998</v>
      </c>
      <c r="AK538" s="261">
        <v>0</v>
      </c>
      <c r="AL538" s="261">
        <v>0</v>
      </c>
      <c r="AM538" s="261">
        <v>0</v>
      </c>
      <c r="AN538" s="261">
        <v>0</v>
      </c>
      <c r="AO538" s="261">
        <v>0</v>
      </c>
      <c r="AP538" s="261">
        <v>55515435.939999998</v>
      </c>
      <c r="AQ538" s="261"/>
      <c r="AS538" s="261"/>
    </row>
    <row r="539" spans="1:45" x14ac:dyDescent="0.25">
      <c r="A539" s="185">
        <v>3050169</v>
      </c>
      <c r="B539" s="259" t="s">
        <v>1306</v>
      </c>
      <c r="C539" s="261"/>
      <c r="D539" s="261"/>
      <c r="E539" s="261"/>
      <c r="F539" s="261">
        <v>11268600</v>
      </c>
      <c r="G539" s="261">
        <f t="shared" si="241"/>
        <v>11268600</v>
      </c>
      <c r="H539" s="261">
        <v>0</v>
      </c>
      <c r="I539" s="261">
        <v>0</v>
      </c>
      <c r="J539" s="261">
        <f t="shared" si="239"/>
        <v>11268600</v>
      </c>
      <c r="K539" s="261">
        <v>0</v>
      </c>
      <c r="L539" s="261">
        <v>0</v>
      </c>
      <c r="M539" s="261"/>
      <c r="N539" s="261">
        <v>0</v>
      </c>
      <c r="O539" s="261">
        <v>0</v>
      </c>
      <c r="P539" s="261"/>
      <c r="Q539" s="177">
        <f t="shared" si="240"/>
        <v>11268600</v>
      </c>
      <c r="R539" s="261"/>
      <c r="T539" s="185">
        <v>3050169</v>
      </c>
      <c r="U539" s="259" t="s">
        <v>1306</v>
      </c>
      <c r="V539" s="261">
        <v>0</v>
      </c>
      <c r="W539" s="261">
        <v>0</v>
      </c>
      <c r="X539" s="261">
        <v>0</v>
      </c>
      <c r="Y539" s="261">
        <v>11268600</v>
      </c>
      <c r="Z539" s="261">
        <v>11268600</v>
      </c>
      <c r="AA539" s="261">
        <v>0</v>
      </c>
      <c r="AB539" s="261">
        <v>0</v>
      </c>
      <c r="AC539" s="261">
        <v>11268600</v>
      </c>
      <c r="AD539" s="261">
        <v>0</v>
      </c>
      <c r="AE539" s="261">
        <v>0</v>
      </c>
      <c r="AF539" s="261">
        <v>0</v>
      </c>
      <c r="AG539" s="261">
        <v>0</v>
      </c>
      <c r="AH539" s="261">
        <v>0</v>
      </c>
      <c r="AI539" s="261">
        <v>0</v>
      </c>
      <c r="AJ539" s="261">
        <v>11268600</v>
      </c>
      <c r="AK539" s="261">
        <v>0</v>
      </c>
      <c r="AL539" s="261">
        <v>0</v>
      </c>
      <c r="AM539" s="261">
        <v>0</v>
      </c>
      <c r="AN539" s="261">
        <v>0</v>
      </c>
      <c r="AO539" s="261">
        <v>0</v>
      </c>
      <c r="AP539" s="261">
        <v>11268600</v>
      </c>
      <c r="AQ539" s="261"/>
      <c r="AS539" s="261"/>
    </row>
    <row r="540" spans="1:45" x14ac:dyDescent="0.25">
      <c r="A540" s="185">
        <v>3050170</v>
      </c>
      <c r="B540" s="259" t="s">
        <v>1307</v>
      </c>
      <c r="C540" s="261"/>
      <c r="D540" s="261"/>
      <c r="E540" s="261"/>
      <c r="F540" s="261">
        <v>12090418</v>
      </c>
      <c r="G540" s="261">
        <f t="shared" si="241"/>
        <v>12090418</v>
      </c>
      <c r="H540" s="261">
        <v>0</v>
      </c>
      <c r="I540" s="261">
        <v>0</v>
      </c>
      <c r="J540" s="261">
        <f t="shared" si="239"/>
        <v>12090418</v>
      </c>
      <c r="K540" s="261">
        <v>0</v>
      </c>
      <c r="L540" s="261">
        <v>0</v>
      </c>
      <c r="M540" s="261"/>
      <c r="N540" s="261">
        <v>4896260</v>
      </c>
      <c r="O540" s="261">
        <v>4896260</v>
      </c>
      <c r="P540" s="261"/>
      <c r="Q540" s="177">
        <f t="shared" si="240"/>
        <v>7194158</v>
      </c>
      <c r="R540" s="261"/>
      <c r="T540" s="185">
        <v>3050170</v>
      </c>
      <c r="U540" s="259" t="s">
        <v>1307</v>
      </c>
      <c r="V540" s="261">
        <v>0</v>
      </c>
      <c r="W540" s="261">
        <v>0</v>
      </c>
      <c r="X540" s="261">
        <v>0</v>
      </c>
      <c r="Y540" s="261">
        <v>12090418</v>
      </c>
      <c r="Z540" s="261">
        <v>12090418</v>
      </c>
      <c r="AA540" s="261">
        <v>0</v>
      </c>
      <c r="AB540" s="261">
        <v>0</v>
      </c>
      <c r="AC540" s="261">
        <v>12090418</v>
      </c>
      <c r="AD540" s="261">
        <v>0</v>
      </c>
      <c r="AE540" s="261">
        <v>0</v>
      </c>
      <c r="AF540" s="261">
        <v>0</v>
      </c>
      <c r="AG540" s="261">
        <v>4896260</v>
      </c>
      <c r="AH540" s="261">
        <v>4896260</v>
      </c>
      <c r="AI540" s="261">
        <v>4896260</v>
      </c>
      <c r="AJ540" s="261">
        <v>7194158</v>
      </c>
      <c r="AK540" s="261">
        <v>0</v>
      </c>
      <c r="AL540" s="261">
        <v>4896260</v>
      </c>
      <c r="AM540" s="261">
        <v>4896260</v>
      </c>
      <c r="AN540" s="261">
        <v>4896260</v>
      </c>
      <c r="AO540" s="261">
        <v>4896260</v>
      </c>
      <c r="AP540" s="261">
        <v>7194158</v>
      </c>
      <c r="AQ540" s="261"/>
      <c r="AS540" s="261"/>
    </row>
    <row r="541" spans="1:45" x14ac:dyDescent="0.25">
      <c r="A541" s="185">
        <v>3050171</v>
      </c>
      <c r="B541" s="259" t="s">
        <v>1308</v>
      </c>
      <c r="C541" s="261"/>
      <c r="D541" s="261"/>
      <c r="E541" s="261"/>
      <c r="F541" s="261">
        <v>10000000</v>
      </c>
      <c r="G541" s="261">
        <f t="shared" si="241"/>
        <v>10000000</v>
      </c>
      <c r="H541" s="261">
        <v>0</v>
      </c>
      <c r="I541" s="261">
        <v>0</v>
      </c>
      <c r="J541" s="261">
        <f t="shared" si="239"/>
        <v>10000000</v>
      </c>
      <c r="K541" s="261">
        <v>0</v>
      </c>
      <c r="L541" s="261">
        <v>0</v>
      </c>
      <c r="M541" s="261"/>
      <c r="N541" s="261">
        <v>0</v>
      </c>
      <c r="O541" s="261">
        <v>0</v>
      </c>
      <c r="P541" s="261"/>
      <c r="Q541" s="177">
        <f t="shared" si="240"/>
        <v>10000000</v>
      </c>
      <c r="R541" s="261"/>
      <c r="T541" s="185">
        <v>3050171</v>
      </c>
      <c r="U541" s="259" t="s">
        <v>1308</v>
      </c>
      <c r="V541" s="261">
        <v>0</v>
      </c>
      <c r="W541" s="261">
        <v>0</v>
      </c>
      <c r="X541" s="261">
        <v>0</v>
      </c>
      <c r="Y541" s="261">
        <v>10000000</v>
      </c>
      <c r="Z541" s="261">
        <v>10000000</v>
      </c>
      <c r="AA541" s="261">
        <v>0</v>
      </c>
      <c r="AB541" s="261">
        <v>0</v>
      </c>
      <c r="AC541" s="261">
        <v>10000000</v>
      </c>
      <c r="AD541" s="261">
        <v>0</v>
      </c>
      <c r="AE541" s="261">
        <v>0</v>
      </c>
      <c r="AF541" s="261">
        <v>0</v>
      </c>
      <c r="AG541" s="261">
        <v>0</v>
      </c>
      <c r="AH541" s="261">
        <v>0</v>
      </c>
      <c r="AI541" s="261">
        <v>0</v>
      </c>
      <c r="AJ541" s="261">
        <v>10000000</v>
      </c>
      <c r="AK541" s="261">
        <v>0</v>
      </c>
      <c r="AL541" s="261">
        <v>0</v>
      </c>
      <c r="AM541" s="261">
        <v>0</v>
      </c>
      <c r="AN541" s="261">
        <v>0</v>
      </c>
      <c r="AO541" s="261">
        <v>0</v>
      </c>
      <c r="AP541" s="261">
        <v>10000000</v>
      </c>
      <c r="AQ541" s="261"/>
      <c r="AS541" s="261"/>
    </row>
    <row r="542" spans="1:45" x14ac:dyDescent="0.25">
      <c r="A542" s="185">
        <v>3050172</v>
      </c>
      <c r="B542" s="259" t="s">
        <v>1309</v>
      </c>
      <c r="C542" s="261"/>
      <c r="D542" s="261"/>
      <c r="E542" s="261"/>
      <c r="F542" s="261">
        <v>17492987</v>
      </c>
      <c r="G542" s="261">
        <f t="shared" si="241"/>
        <v>17492987</v>
      </c>
      <c r="H542" s="261">
        <v>17492987</v>
      </c>
      <c r="I542" s="261">
        <v>17492987</v>
      </c>
      <c r="J542" s="261">
        <f t="shared" si="239"/>
        <v>0</v>
      </c>
      <c r="K542" s="261">
        <v>0</v>
      </c>
      <c r="L542" s="261">
        <v>0</v>
      </c>
      <c r="M542" s="261"/>
      <c r="N542" s="261">
        <v>0</v>
      </c>
      <c r="O542" s="261">
        <v>17492987</v>
      </c>
      <c r="P542" s="261"/>
      <c r="Q542" s="177">
        <f t="shared" si="240"/>
        <v>0</v>
      </c>
      <c r="R542" s="261"/>
      <c r="T542" s="185">
        <v>3050172</v>
      </c>
      <c r="U542" s="259" t="s">
        <v>1309</v>
      </c>
      <c r="V542" s="261">
        <v>0</v>
      </c>
      <c r="W542" s="261">
        <v>0</v>
      </c>
      <c r="X542" s="261">
        <v>0</v>
      </c>
      <c r="Y542" s="261">
        <v>17492987</v>
      </c>
      <c r="Z542" s="261">
        <v>17492987</v>
      </c>
      <c r="AA542" s="261">
        <v>17492987</v>
      </c>
      <c r="AB542" s="261">
        <v>17492987</v>
      </c>
      <c r="AC542" s="261">
        <v>0</v>
      </c>
      <c r="AD542" s="261">
        <v>0</v>
      </c>
      <c r="AE542" s="261">
        <v>0</v>
      </c>
      <c r="AF542" s="261">
        <v>17492987</v>
      </c>
      <c r="AG542" s="261">
        <v>0</v>
      </c>
      <c r="AH542" s="261">
        <v>17492987</v>
      </c>
      <c r="AI542" s="261">
        <v>0</v>
      </c>
      <c r="AJ542" s="261">
        <v>0</v>
      </c>
      <c r="AK542" s="261">
        <v>0</v>
      </c>
      <c r="AL542" s="261">
        <v>0</v>
      </c>
      <c r="AM542" s="261">
        <v>17492987</v>
      </c>
      <c r="AN542" s="261">
        <v>17492987</v>
      </c>
      <c r="AO542" s="261">
        <v>0</v>
      </c>
      <c r="AP542" s="261">
        <v>0</v>
      </c>
      <c r="AQ542" s="261"/>
      <c r="AS542" s="261"/>
    </row>
    <row r="543" spans="1:45" x14ac:dyDescent="0.25">
      <c r="A543" s="185">
        <v>3050173</v>
      </c>
      <c r="B543" s="259" t="s">
        <v>1310</v>
      </c>
      <c r="C543" s="261"/>
      <c r="D543" s="261"/>
      <c r="E543" s="261"/>
      <c r="F543" s="261">
        <v>50000000</v>
      </c>
      <c r="G543" s="261">
        <f t="shared" si="241"/>
        <v>50000000</v>
      </c>
      <c r="H543" s="261">
        <v>50000000</v>
      </c>
      <c r="I543" s="261">
        <v>50000000</v>
      </c>
      <c r="J543" s="261">
        <f t="shared" si="239"/>
        <v>0</v>
      </c>
      <c r="K543" s="261">
        <v>0</v>
      </c>
      <c r="L543" s="261">
        <v>0</v>
      </c>
      <c r="M543" s="261"/>
      <c r="N543" s="261">
        <v>0</v>
      </c>
      <c r="O543" s="261">
        <v>50000000</v>
      </c>
      <c r="P543" s="261"/>
      <c r="Q543" s="177">
        <f t="shared" si="240"/>
        <v>0</v>
      </c>
      <c r="R543" s="261"/>
      <c r="T543" s="185">
        <v>3050173</v>
      </c>
      <c r="U543" s="259" t="s">
        <v>1310</v>
      </c>
      <c r="V543" s="261">
        <v>0</v>
      </c>
      <c r="W543" s="261">
        <v>0</v>
      </c>
      <c r="X543" s="261">
        <v>0</v>
      </c>
      <c r="Y543" s="261">
        <v>50000000</v>
      </c>
      <c r="Z543" s="261">
        <v>50000000</v>
      </c>
      <c r="AA543" s="261">
        <v>50000000</v>
      </c>
      <c r="AB543" s="261">
        <v>50000000</v>
      </c>
      <c r="AC543" s="261">
        <v>0</v>
      </c>
      <c r="AD543" s="261">
        <v>0</v>
      </c>
      <c r="AE543" s="261">
        <v>0</v>
      </c>
      <c r="AF543" s="261">
        <v>50000000</v>
      </c>
      <c r="AG543" s="261">
        <v>0</v>
      </c>
      <c r="AH543" s="261">
        <v>50000000</v>
      </c>
      <c r="AI543" s="261">
        <v>0</v>
      </c>
      <c r="AJ543" s="261">
        <v>0</v>
      </c>
      <c r="AK543" s="261">
        <v>0</v>
      </c>
      <c r="AL543" s="261">
        <v>0</v>
      </c>
      <c r="AM543" s="261">
        <v>50000000</v>
      </c>
      <c r="AN543" s="261">
        <v>50000000</v>
      </c>
      <c r="AO543" s="261">
        <v>0</v>
      </c>
      <c r="AP543" s="261">
        <v>0</v>
      </c>
      <c r="AQ543" s="261"/>
      <c r="AS543" s="261"/>
    </row>
    <row r="544" spans="1:45" x14ac:dyDescent="0.25">
      <c r="A544" s="185">
        <v>3050174</v>
      </c>
      <c r="B544" s="259" t="s">
        <v>1311</v>
      </c>
      <c r="C544" s="261"/>
      <c r="D544" s="261"/>
      <c r="E544" s="261"/>
      <c r="F544" s="261">
        <v>11124001</v>
      </c>
      <c r="G544" s="261">
        <f t="shared" si="241"/>
        <v>11124001</v>
      </c>
      <c r="H544" s="261">
        <v>0</v>
      </c>
      <c r="I544" s="261">
        <v>0</v>
      </c>
      <c r="J544" s="261">
        <f t="shared" si="239"/>
        <v>11124001</v>
      </c>
      <c r="K544" s="261">
        <v>0</v>
      </c>
      <c r="L544" s="261">
        <v>0</v>
      </c>
      <c r="M544" s="261"/>
      <c r="N544" s="261">
        <v>6128200</v>
      </c>
      <c r="O544" s="261">
        <v>6128200</v>
      </c>
      <c r="P544" s="261"/>
      <c r="Q544" s="177">
        <f t="shared" si="240"/>
        <v>4995801</v>
      </c>
      <c r="R544" s="261"/>
      <c r="T544" s="185">
        <v>3050174</v>
      </c>
      <c r="U544" s="259" t="s">
        <v>1311</v>
      </c>
      <c r="V544" s="261">
        <v>0</v>
      </c>
      <c r="W544" s="261">
        <v>0</v>
      </c>
      <c r="X544" s="261">
        <v>0</v>
      </c>
      <c r="Y544" s="261">
        <v>11124001</v>
      </c>
      <c r="Z544" s="261">
        <v>11124001</v>
      </c>
      <c r="AA544" s="261">
        <v>0</v>
      </c>
      <c r="AB544" s="261">
        <v>0</v>
      </c>
      <c r="AC544" s="261">
        <v>11124001</v>
      </c>
      <c r="AD544" s="261">
        <v>0</v>
      </c>
      <c r="AE544" s="261">
        <v>0</v>
      </c>
      <c r="AF544" s="261">
        <v>0</v>
      </c>
      <c r="AG544" s="261">
        <v>6128200</v>
      </c>
      <c r="AH544" s="261">
        <v>6128200</v>
      </c>
      <c r="AI544" s="261">
        <v>6128200</v>
      </c>
      <c r="AJ544" s="261">
        <v>4995801</v>
      </c>
      <c r="AK544" s="261">
        <v>0</v>
      </c>
      <c r="AL544" s="261">
        <v>0</v>
      </c>
      <c r="AM544" s="261">
        <v>0</v>
      </c>
      <c r="AN544" s="261">
        <v>0</v>
      </c>
      <c r="AO544" s="261">
        <v>0</v>
      </c>
      <c r="AP544" s="261">
        <v>11124001</v>
      </c>
      <c r="AQ544" s="261"/>
      <c r="AS544" s="261"/>
    </row>
    <row r="545" spans="1:45" x14ac:dyDescent="0.25">
      <c r="A545" s="185">
        <v>3050175</v>
      </c>
      <c r="B545" s="259" t="s">
        <v>1312</v>
      </c>
      <c r="C545" s="261"/>
      <c r="D545" s="261"/>
      <c r="E545" s="261"/>
      <c r="F545" s="261">
        <v>32563038</v>
      </c>
      <c r="G545" s="261">
        <f t="shared" si="241"/>
        <v>32563038</v>
      </c>
      <c r="H545" s="261">
        <v>0</v>
      </c>
      <c r="I545" s="261">
        <v>0</v>
      </c>
      <c r="J545" s="261">
        <f t="shared" si="239"/>
        <v>32563038</v>
      </c>
      <c r="K545" s="261">
        <v>0</v>
      </c>
      <c r="L545" s="261">
        <v>0</v>
      </c>
      <c r="M545" s="261"/>
      <c r="N545" s="261">
        <v>0</v>
      </c>
      <c r="O545" s="261">
        <v>0</v>
      </c>
      <c r="P545" s="261"/>
      <c r="Q545" s="177">
        <f t="shared" si="240"/>
        <v>32563038</v>
      </c>
      <c r="R545" s="261"/>
      <c r="T545" s="185">
        <v>3050175</v>
      </c>
      <c r="U545" s="259" t="s">
        <v>1312</v>
      </c>
      <c r="V545" s="261">
        <v>0</v>
      </c>
      <c r="W545" s="261">
        <v>0</v>
      </c>
      <c r="X545" s="261">
        <v>0</v>
      </c>
      <c r="Y545" s="261">
        <v>32563038</v>
      </c>
      <c r="Z545" s="261">
        <v>32563038</v>
      </c>
      <c r="AA545" s="261">
        <v>0</v>
      </c>
      <c r="AB545" s="261">
        <v>0</v>
      </c>
      <c r="AC545" s="261">
        <v>32563038</v>
      </c>
      <c r="AD545" s="261">
        <v>0</v>
      </c>
      <c r="AE545" s="261">
        <v>0</v>
      </c>
      <c r="AF545" s="261">
        <v>0</v>
      </c>
      <c r="AG545" s="261">
        <v>0</v>
      </c>
      <c r="AH545" s="261">
        <v>0</v>
      </c>
      <c r="AI545" s="261">
        <v>0</v>
      </c>
      <c r="AJ545" s="261">
        <v>32563038</v>
      </c>
      <c r="AK545" s="261">
        <v>0</v>
      </c>
      <c r="AL545" s="261">
        <v>0</v>
      </c>
      <c r="AM545" s="261">
        <v>0</v>
      </c>
      <c r="AN545" s="261">
        <v>0</v>
      </c>
      <c r="AO545" s="261">
        <v>0</v>
      </c>
      <c r="AP545" s="261">
        <v>32563038</v>
      </c>
      <c r="AQ545" s="261"/>
      <c r="AS545" s="261"/>
    </row>
    <row r="546" spans="1:45" x14ac:dyDescent="0.25">
      <c r="A546" s="185">
        <v>3050176</v>
      </c>
      <c r="B546" s="259" t="s">
        <v>1313</v>
      </c>
      <c r="C546" s="261"/>
      <c r="D546" s="261"/>
      <c r="E546" s="261"/>
      <c r="F546" s="261">
        <v>30000000</v>
      </c>
      <c r="G546" s="261">
        <f t="shared" si="241"/>
        <v>30000000</v>
      </c>
      <c r="H546" s="261">
        <v>0</v>
      </c>
      <c r="I546" s="261">
        <v>0</v>
      </c>
      <c r="J546" s="261">
        <f t="shared" si="239"/>
        <v>30000000</v>
      </c>
      <c r="K546" s="261">
        <v>0</v>
      </c>
      <c r="L546" s="261">
        <v>0</v>
      </c>
      <c r="M546" s="261"/>
      <c r="N546" s="261">
        <v>0</v>
      </c>
      <c r="O546" s="261">
        <v>0</v>
      </c>
      <c r="P546" s="261"/>
      <c r="Q546" s="177">
        <f t="shared" si="240"/>
        <v>30000000</v>
      </c>
      <c r="R546" s="261"/>
      <c r="T546" s="185">
        <v>3050176</v>
      </c>
      <c r="U546" s="259" t="s">
        <v>1313</v>
      </c>
      <c r="V546" s="261">
        <v>0</v>
      </c>
      <c r="W546" s="261">
        <v>0</v>
      </c>
      <c r="X546" s="261">
        <v>0</v>
      </c>
      <c r="Y546" s="261">
        <v>30000000</v>
      </c>
      <c r="Z546" s="261">
        <v>30000000</v>
      </c>
      <c r="AA546" s="261">
        <v>0</v>
      </c>
      <c r="AB546" s="261">
        <v>0</v>
      </c>
      <c r="AC546" s="261">
        <v>30000000</v>
      </c>
      <c r="AD546" s="261">
        <v>0</v>
      </c>
      <c r="AE546" s="261">
        <v>0</v>
      </c>
      <c r="AF546" s="261">
        <v>0</v>
      </c>
      <c r="AG546" s="261">
        <v>0</v>
      </c>
      <c r="AH546" s="261">
        <v>0</v>
      </c>
      <c r="AI546" s="261">
        <v>0</v>
      </c>
      <c r="AJ546" s="261">
        <v>30000000</v>
      </c>
      <c r="AK546" s="261">
        <v>0</v>
      </c>
      <c r="AL546" s="261">
        <v>0</v>
      </c>
      <c r="AM546" s="261">
        <v>0</v>
      </c>
      <c r="AN546" s="261">
        <v>0</v>
      </c>
      <c r="AO546" s="261">
        <v>0</v>
      </c>
      <c r="AP546" s="261">
        <v>30000000</v>
      </c>
      <c r="AQ546" s="261"/>
      <c r="AS546" s="261"/>
    </row>
    <row r="547" spans="1:45" x14ac:dyDescent="0.25">
      <c r="A547" s="185">
        <v>3050177</v>
      </c>
      <c r="B547" s="259" t="s">
        <v>1314</v>
      </c>
      <c r="C547" s="261"/>
      <c r="D547" s="261"/>
      <c r="E547" s="261"/>
      <c r="F547" s="261">
        <v>1023800</v>
      </c>
      <c r="G547" s="261">
        <f t="shared" si="241"/>
        <v>1023800</v>
      </c>
      <c r="H547" s="261">
        <v>0</v>
      </c>
      <c r="I547" s="261">
        <v>0</v>
      </c>
      <c r="J547" s="261">
        <f t="shared" si="239"/>
        <v>1023800</v>
      </c>
      <c r="K547" s="261">
        <v>0</v>
      </c>
      <c r="L547" s="261">
        <v>0</v>
      </c>
      <c r="M547" s="261"/>
      <c r="N547" s="261">
        <v>0</v>
      </c>
      <c r="O547" s="261">
        <v>0</v>
      </c>
      <c r="P547" s="261"/>
      <c r="Q547" s="177">
        <f t="shared" si="240"/>
        <v>1023800</v>
      </c>
      <c r="R547" s="261"/>
      <c r="T547" s="185">
        <v>3050177</v>
      </c>
      <c r="U547" s="259" t="s">
        <v>1314</v>
      </c>
      <c r="V547" s="261">
        <v>0</v>
      </c>
      <c r="W547" s="261">
        <v>0</v>
      </c>
      <c r="X547" s="261">
        <v>0</v>
      </c>
      <c r="Y547" s="261">
        <v>1023800</v>
      </c>
      <c r="Z547" s="261">
        <v>1023800</v>
      </c>
      <c r="AA547" s="261">
        <v>0</v>
      </c>
      <c r="AB547" s="261">
        <v>0</v>
      </c>
      <c r="AC547" s="261">
        <v>1023800</v>
      </c>
      <c r="AD547" s="261">
        <v>0</v>
      </c>
      <c r="AE547" s="261">
        <v>0</v>
      </c>
      <c r="AF547" s="261">
        <v>0</v>
      </c>
      <c r="AG547" s="261">
        <v>0</v>
      </c>
      <c r="AH547" s="261">
        <v>0</v>
      </c>
      <c r="AI547" s="261">
        <v>0</v>
      </c>
      <c r="AJ547" s="261">
        <v>1023800</v>
      </c>
      <c r="AK547" s="261">
        <v>0</v>
      </c>
      <c r="AL547" s="261">
        <v>0</v>
      </c>
      <c r="AM547" s="261">
        <v>0</v>
      </c>
      <c r="AN547" s="261">
        <v>0</v>
      </c>
      <c r="AO547" s="261">
        <v>0</v>
      </c>
      <c r="AP547" s="261">
        <v>1023800</v>
      </c>
      <c r="AQ547" s="261"/>
      <c r="AS547" s="261"/>
    </row>
    <row r="548" spans="1:45" x14ac:dyDescent="0.25">
      <c r="A548" s="185">
        <v>3050178</v>
      </c>
      <c r="B548" s="259" t="s">
        <v>1315</v>
      </c>
      <c r="C548" s="261"/>
      <c r="D548" s="261"/>
      <c r="E548" s="261"/>
      <c r="F548" s="261">
        <v>116</v>
      </c>
      <c r="G548" s="261">
        <f t="shared" si="241"/>
        <v>116</v>
      </c>
      <c r="H548" s="261">
        <v>0</v>
      </c>
      <c r="I548" s="261">
        <v>0</v>
      </c>
      <c r="J548" s="261">
        <f t="shared" si="239"/>
        <v>116</v>
      </c>
      <c r="K548" s="261">
        <v>0</v>
      </c>
      <c r="L548" s="261">
        <v>0</v>
      </c>
      <c r="M548" s="261"/>
      <c r="N548" s="261">
        <v>0</v>
      </c>
      <c r="O548" s="261">
        <v>0</v>
      </c>
      <c r="P548" s="261"/>
      <c r="Q548" s="177">
        <f t="shared" si="240"/>
        <v>116</v>
      </c>
      <c r="R548" s="261"/>
      <c r="T548" s="185">
        <v>3050178</v>
      </c>
      <c r="U548" s="259" t="s">
        <v>1315</v>
      </c>
      <c r="V548" s="261">
        <v>0</v>
      </c>
      <c r="W548" s="261">
        <v>0</v>
      </c>
      <c r="X548" s="261">
        <v>0</v>
      </c>
      <c r="Y548" s="261">
        <v>116</v>
      </c>
      <c r="Z548" s="261">
        <v>116</v>
      </c>
      <c r="AA548" s="261">
        <v>0</v>
      </c>
      <c r="AB548" s="261">
        <v>0</v>
      </c>
      <c r="AC548" s="261">
        <v>116</v>
      </c>
      <c r="AD548" s="261">
        <v>0</v>
      </c>
      <c r="AE548" s="261">
        <v>0</v>
      </c>
      <c r="AF548" s="261">
        <v>0</v>
      </c>
      <c r="AG548" s="261">
        <v>0</v>
      </c>
      <c r="AH548" s="261">
        <v>0</v>
      </c>
      <c r="AI548" s="261">
        <v>0</v>
      </c>
      <c r="AJ548" s="261">
        <v>116</v>
      </c>
      <c r="AK548" s="261">
        <v>0</v>
      </c>
      <c r="AL548" s="261">
        <v>0</v>
      </c>
      <c r="AM548" s="261">
        <v>0</v>
      </c>
      <c r="AN548" s="261">
        <v>0</v>
      </c>
      <c r="AO548" s="261">
        <v>0</v>
      </c>
      <c r="AP548" s="261">
        <v>116</v>
      </c>
      <c r="AQ548" s="261"/>
      <c r="AS548" s="261"/>
    </row>
    <row r="549" spans="1:45" x14ac:dyDescent="0.25">
      <c r="A549" s="185">
        <v>3050179</v>
      </c>
      <c r="B549" s="259" t="s">
        <v>1316</v>
      </c>
      <c r="C549" s="261"/>
      <c r="D549" s="261"/>
      <c r="E549" s="261"/>
      <c r="F549" s="261">
        <v>287600</v>
      </c>
      <c r="G549" s="261">
        <f t="shared" si="241"/>
        <v>287600</v>
      </c>
      <c r="H549" s="261">
        <v>0</v>
      </c>
      <c r="I549" s="261">
        <v>0</v>
      </c>
      <c r="J549" s="261">
        <f t="shared" si="239"/>
        <v>287600</v>
      </c>
      <c r="K549" s="261">
        <v>0</v>
      </c>
      <c r="L549" s="261">
        <v>0</v>
      </c>
      <c r="M549" s="261"/>
      <c r="N549" s="261">
        <v>0</v>
      </c>
      <c r="O549" s="261">
        <v>0</v>
      </c>
      <c r="P549" s="261"/>
      <c r="Q549" s="177">
        <f t="shared" si="240"/>
        <v>287600</v>
      </c>
      <c r="R549" s="261"/>
      <c r="T549" s="185">
        <v>3050179</v>
      </c>
      <c r="U549" s="259" t="s">
        <v>1316</v>
      </c>
      <c r="V549" s="261">
        <v>0</v>
      </c>
      <c r="W549" s="261">
        <v>0</v>
      </c>
      <c r="X549" s="261">
        <v>0</v>
      </c>
      <c r="Y549" s="261">
        <v>287600</v>
      </c>
      <c r="Z549" s="261">
        <v>287600</v>
      </c>
      <c r="AA549" s="261">
        <v>0</v>
      </c>
      <c r="AB549" s="261">
        <v>0</v>
      </c>
      <c r="AC549" s="261">
        <v>287600</v>
      </c>
      <c r="AD549" s="261">
        <v>0</v>
      </c>
      <c r="AE549" s="261">
        <v>0</v>
      </c>
      <c r="AF549" s="261">
        <v>0</v>
      </c>
      <c r="AG549" s="261">
        <v>0</v>
      </c>
      <c r="AH549" s="261">
        <v>0</v>
      </c>
      <c r="AI549" s="261">
        <v>0</v>
      </c>
      <c r="AJ549" s="261">
        <v>287600</v>
      </c>
      <c r="AK549" s="261">
        <v>0</v>
      </c>
      <c r="AL549" s="261">
        <v>0</v>
      </c>
      <c r="AM549" s="261">
        <v>0</v>
      </c>
      <c r="AN549" s="261">
        <v>0</v>
      </c>
      <c r="AO549" s="261">
        <v>0</v>
      </c>
      <c r="AP549" s="261">
        <v>287600</v>
      </c>
      <c r="AQ549" s="261"/>
      <c r="AS549" s="261"/>
    </row>
    <row r="550" spans="1:45" x14ac:dyDescent="0.25">
      <c r="A550" s="185">
        <v>3050180</v>
      </c>
      <c r="B550" s="259" t="s">
        <v>1317</v>
      </c>
      <c r="C550" s="261"/>
      <c r="D550" s="261"/>
      <c r="E550" s="261"/>
      <c r="F550" s="261">
        <v>424061198</v>
      </c>
      <c r="G550" s="261">
        <f t="shared" si="241"/>
        <v>424061198</v>
      </c>
      <c r="H550" s="261">
        <v>199045453</v>
      </c>
      <c r="I550" s="261">
        <v>199045453</v>
      </c>
      <c r="J550" s="261">
        <f t="shared" si="239"/>
        <v>225015745</v>
      </c>
      <c r="K550" s="261">
        <v>0</v>
      </c>
      <c r="L550" s="261">
        <v>0</v>
      </c>
      <c r="M550" s="261"/>
      <c r="N550" s="261">
        <v>103590437.40000001</v>
      </c>
      <c r="O550" s="261">
        <v>423236183</v>
      </c>
      <c r="P550" s="261"/>
      <c r="Q550" s="177">
        <f t="shared" si="240"/>
        <v>825015</v>
      </c>
      <c r="R550" s="261"/>
      <c r="T550" s="185">
        <v>3050180</v>
      </c>
      <c r="U550" s="259" t="s">
        <v>1317</v>
      </c>
      <c r="V550" s="261">
        <v>0</v>
      </c>
      <c r="W550" s="261">
        <v>0</v>
      </c>
      <c r="X550" s="261">
        <v>0</v>
      </c>
      <c r="Y550" s="261">
        <v>424061198</v>
      </c>
      <c r="Z550" s="261">
        <v>424061198</v>
      </c>
      <c r="AA550" s="261">
        <v>199045453</v>
      </c>
      <c r="AB550" s="261">
        <v>199045453</v>
      </c>
      <c r="AC550" s="261">
        <v>225015745</v>
      </c>
      <c r="AD550" s="261">
        <v>0</v>
      </c>
      <c r="AE550" s="261">
        <v>0</v>
      </c>
      <c r="AF550" s="261">
        <v>199045453</v>
      </c>
      <c r="AG550" s="261">
        <v>103590437.40000001</v>
      </c>
      <c r="AH550" s="261">
        <v>423236183</v>
      </c>
      <c r="AI550" s="261">
        <v>224190730</v>
      </c>
      <c r="AJ550" s="261">
        <v>825015</v>
      </c>
      <c r="AK550" s="261">
        <v>825015</v>
      </c>
      <c r="AL550" s="261">
        <v>103590437.40000001</v>
      </c>
      <c r="AM550" s="261">
        <v>424061198</v>
      </c>
      <c r="AN550" s="261">
        <v>423236183</v>
      </c>
      <c r="AO550" s="261">
        <v>224190730</v>
      </c>
      <c r="AP550" s="261">
        <v>825015</v>
      </c>
      <c r="AQ550" s="261"/>
      <c r="AS550" s="261"/>
    </row>
    <row r="551" spans="1:45" x14ac:dyDescent="0.25">
      <c r="A551" s="185">
        <v>3050181</v>
      </c>
      <c r="B551" s="259" t="s">
        <v>1318</v>
      </c>
      <c r="C551" s="261"/>
      <c r="D551" s="261"/>
      <c r="E551" s="261"/>
      <c r="F551" s="261">
        <v>17715649.010000002</v>
      </c>
      <c r="G551" s="261">
        <f t="shared" si="241"/>
        <v>17715649.010000002</v>
      </c>
      <c r="H551" s="261">
        <v>6300000</v>
      </c>
      <c r="I551" s="261">
        <v>6300000</v>
      </c>
      <c r="J551" s="261">
        <f t="shared" si="239"/>
        <v>11415649.010000002</v>
      </c>
      <c r="K551" s="261">
        <v>0</v>
      </c>
      <c r="L551" s="261">
        <v>0</v>
      </c>
      <c r="M551" s="261"/>
      <c r="N551" s="261">
        <v>10166100</v>
      </c>
      <c r="O551" s="261">
        <v>10166100</v>
      </c>
      <c r="P551" s="261"/>
      <c r="Q551" s="177">
        <f t="shared" si="240"/>
        <v>7549549.0100000016</v>
      </c>
      <c r="R551" s="261"/>
      <c r="T551" s="185">
        <v>3050181</v>
      </c>
      <c r="U551" s="259" t="s">
        <v>1318</v>
      </c>
      <c r="V551" s="261">
        <v>0</v>
      </c>
      <c r="W551" s="261">
        <v>0</v>
      </c>
      <c r="X551" s="261">
        <v>0</v>
      </c>
      <c r="Y551" s="261">
        <v>17715649.010000002</v>
      </c>
      <c r="Z551" s="261">
        <v>17715649.010000002</v>
      </c>
      <c r="AA551" s="261">
        <v>6300000</v>
      </c>
      <c r="AB551" s="261">
        <v>6300000</v>
      </c>
      <c r="AC551" s="261">
        <v>11415649.010000002</v>
      </c>
      <c r="AD551" s="261">
        <v>0</v>
      </c>
      <c r="AE551" s="261">
        <v>0</v>
      </c>
      <c r="AF551" s="261">
        <v>6300000</v>
      </c>
      <c r="AG551" s="261">
        <v>10166100</v>
      </c>
      <c r="AH551" s="261">
        <v>10166100</v>
      </c>
      <c r="AI551" s="261">
        <v>3866100</v>
      </c>
      <c r="AJ551" s="261">
        <v>7549549.0100000016</v>
      </c>
      <c r="AK551" s="261">
        <v>0</v>
      </c>
      <c r="AL551" s="261">
        <v>0</v>
      </c>
      <c r="AM551" s="261">
        <v>0</v>
      </c>
      <c r="AN551" s="261">
        <v>0</v>
      </c>
      <c r="AO551" s="261">
        <v>0</v>
      </c>
      <c r="AP551" s="261">
        <v>17715649.010000002</v>
      </c>
      <c r="AQ551" s="261"/>
      <c r="AS551" s="261"/>
    </row>
    <row r="552" spans="1:45" x14ac:dyDescent="0.25">
      <c r="A552" s="185">
        <v>3050182</v>
      </c>
      <c r="B552" s="259" t="s">
        <v>1319</v>
      </c>
      <c r="C552" s="262"/>
      <c r="D552" s="261"/>
      <c r="E552" s="261"/>
      <c r="F552" s="261">
        <v>319859863</v>
      </c>
      <c r="G552" s="261">
        <f t="shared" si="241"/>
        <v>319859863</v>
      </c>
      <c r="H552" s="261">
        <v>0</v>
      </c>
      <c r="I552" s="261">
        <v>0</v>
      </c>
      <c r="J552" s="261">
        <f t="shared" si="239"/>
        <v>319859863</v>
      </c>
      <c r="K552" s="261">
        <v>0</v>
      </c>
      <c r="L552" s="261">
        <v>0</v>
      </c>
      <c r="M552" s="261"/>
      <c r="N552" s="261">
        <v>319859863</v>
      </c>
      <c r="O552" s="261">
        <v>319859863</v>
      </c>
      <c r="P552" s="261"/>
      <c r="Q552" s="177">
        <f t="shared" si="240"/>
        <v>0</v>
      </c>
      <c r="R552" s="261"/>
      <c r="T552" s="185">
        <v>3050182</v>
      </c>
      <c r="U552" s="259" t="s">
        <v>1319</v>
      </c>
      <c r="V552" s="261">
        <v>0</v>
      </c>
      <c r="W552" s="261">
        <v>0</v>
      </c>
      <c r="X552" s="261">
        <v>0</v>
      </c>
      <c r="Y552" s="261">
        <v>319859863</v>
      </c>
      <c r="Z552" s="261">
        <v>319859863</v>
      </c>
      <c r="AA552" s="261">
        <v>0</v>
      </c>
      <c r="AB552" s="261">
        <v>0</v>
      </c>
      <c r="AC552" s="261">
        <v>319859863</v>
      </c>
      <c r="AD552" s="261">
        <v>0</v>
      </c>
      <c r="AE552" s="261">
        <v>0</v>
      </c>
      <c r="AF552" s="261">
        <v>0</v>
      </c>
      <c r="AG552" s="261">
        <v>319859863</v>
      </c>
      <c r="AH552" s="261">
        <v>319859863</v>
      </c>
      <c r="AI552" s="261">
        <v>319859863</v>
      </c>
      <c r="AJ552" s="261">
        <v>0</v>
      </c>
      <c r="AK552" s="261">
        <v>0</v>
      </c>
      <c r="AL552" s="261">
        <v>319859863</v>
      </c>
      <c r="AM552" s="261">
        <v>319859863</v>
      </c>
      <c r="AN552" s="261">
        <v>319859863</v>
      </c>
      <c r="AO552" s="261">
        <v>319859863</v>
      </c>
      <c r="AP552" s="261">
        <v>0</v>
      </c>
      <c r="AQ552" s="261"/>
      <c r="AS552" s="261"/>
    </row>
    <row r="553" spans="1:45" x14ac:dyDescent="0.25">
      <c r="A553" s="185">
        <v>30546</v>
      </c>
      <c r="B553" s="259" t="s">
        <v>1136</v>
      </c>
      <c r="C553" s="261">
        <v>0</v>
      </c>
      <c r="D553" s="261">
        <v>0</v>
      </c>
      <c r="E553" s="261">
        <v>0</v>
      </c>
      <c r="F553" s="261">
        <v>300000000</v>
      </c>
      <c r="G553" s="261">
        <f t="shared" si="241"/>
        <v>300000000</v>
      </c>
      <c r="H553" s="261">
        <v>1119800</v>
      </c>
      <c r="I553" s="261">
        <v>1119800</v>
      </c>
      <c r="J553" s="261">
        <f t="shared" si="239"/>
        <v>298880200</v>
      </c>
      <c r="K553" s="261">
        <v>0</v>
      </c>
      <c r="L553" s="261">
        <v>0</v>
      </c>
      <c r="M553" s="261">
        <v>0</v>
      </c>
      <c r="N553" s="261">
        <v>14156539</v>
      </c>
      <c r="O553" s="261">
        <v>221867687</v>
      </c>
      <c r="P553" s="261">
        <f t="shared" ref="P553:P566" si="242">+O553-I553</f>
        <v>220747887</v>
      </c>
      <c r="Q553" s="177">
        <f t="shared" si="240"/>
        <v>78132313</v>
      </c>
      <c r="R553" s="261">
        <f t="shared" ref="R553:R566" si="243">+L553</f>
        <v>0</v>
      </c>
      <c r="T553" s="185">
        <v>30546</v>
      </c>
      <c r="U553" s="259" t="s">
        <v>1136</v>
      </c>
      <c r="V553" s="261">
        <v>0</v>
      </c>
      <c r="W553" s="261">
        <v>0</v>
      </c>
      <c r="X553" s="261">
        <v>0</v>
      </c>
      <c r="Y553" s="261">
        <v>300000000</v>
      </c>
      <c r="Z553" s="261">
        <v>300000000</v>
      </c>
      <c r="AA553" s="261">
        <v>1119800</v>
      </c>
      <c r="AB553" s="261">
        <v>1119800</v>
      </c>
      <c r="AC553" s="261">
        <v>298880200</v>
      </c>
      <c r="AD553" s="261">
        <v>0</v>
      </c>
      <c r="AE553" s="261">
        <v>0</v>
      </c>
      <c r="AF553" s="261">
        <v>1119800</v>
      </c>
      <c r="AG553" s="261">
        <v>14156539</v>
      </c>
      <c r="AH553" s="261">
        <v>221867687</v>
      </c>
      <c r="AI553" s="261">
        <v>220747887</v>
      </c>
      <c r="AJ553" s="261">
        <v>78132313</v>
      </c>
      <c r="AK553" s="261">
        <v>0</v>
      </c>
      <c r="AL553" s="261">
        <v>14156539</v>
      </c>
      <c r="AM553" s="261">
        <v>221867687</v>
      </c>
      <c r="AN553" s="261">
        <v>221867687</v>
      </c>
      <c r="AO553" s="261">
        <v>221867687</v>
      </c>
      <c r="AP553" s="261">
        <v>78132313</v>
      </c>
      <c r="AQ553" s="261"/>
      <c r="AS553" s="261"/>
    </row>
    <row r="554" spans="1:45" ht="30" x14ac:dyDescent="0.25">
      <c r="A554" s="185">
        <v>30547</v>
      </c>
      <c r="B554" s="234" t="s">
        <v>1137</v>
      </c>
      <c r="C554" s="261">
        <v>0</v>
      </c>
      <c r="D554" s="261">
        <v>0</v>
      </c>
      <c r="E554" s="261">
        <v>0</v>
      </c>
      <c r="F554" s="261">
        <v>150000000</v>
      </c>
      <c r="G554" s="261">
        <f t="shared" si="241"/>
        <v>150000000</v>
      </c>
      <c r="H554" s="261">
        <v>0</v>
      </c>
      <c r="I554" s="261">
        <v>90250010.5</v>
      </c>
      <c r="J554" s="261">
        <f t="shared" si="239"/>
        <v>59749989.5</v>
      </c>
      <c r="K554" s="261">
        <v>0</v>
      </c>
      <c r="L554" s="261">
        <v>74000000</v>
      </c>
      <c r="M554" s="261">
        <v>0</v>
      </c>
      <c r="N554" s="261">
        <v>0</v>
      </c>
      <c r="O554" s="261">
        <v>112159210.5</v>
      </c>
      <c r="P554" s="261">
        <f t="shared" si="242"/>
        <v>21909200</v>
      </c>
      <c r="Q554" s="177">
        <f t="shared" si="240"/>
        <v>37840789.5</v>
      </c>
      <c r="R554" s="261">
        <f t="shared" si="243"/>
        <v>74000000</v>
      </c>
      <c r="T554" s="185">
        <v>30547</v>
      </c>
      <c r="U554" s="259" t="s">
        <v>1137</v>
      </c>
      <c r="V554" s="261">
        <v>0</v>
      </c>
      <c r="W554" s="261">
        <v>0</v>
      </c>
      <c r="X554" s="261">
        <v>0</v>
      </c>
      <c r="Y554" s="261">
        <v>150000000</v>
      </c>
      <c r="Z554" s="261">
        <v>150000000</v>
      </c>
      <c r="AA554" s="261">
        <v>0</v>
      </c>
      <c r="AB554" s="261">
        <v>90250010.5</v>
      </c>
      <c r="AC554" s="261">
        <v>59749989.5</v>
      </c>
      <c r="AD554" s="261">
        <v>0</v>
      </c>
      <c r="AE554" s="261">
        <v>74000000</v>
      </c>
      <c r="AF554" s="261">
        <v>16250010.5</v>
      </c>
      <c r="AG554" s="261">
        <v>0</v>
      </c>
      <c r="AH554" s="261">
        <v>112159210.5</v>
      </c>
      <c r="AI554" s="261">
        <v>21909200</v>
      </c>
      <c r="AJ554" s="261">
        <v>37840789.5</v>
      </c>
      <c r="AK554" s="261">
        <v>0</v>
      </c>
      <c r="AL554" s="261">
        <v>0</v>
      </c>
      <c r="AM554" s="261">
        <v>117159210.5</v>
      </c>
      <c r="AN554" s="261">
        <v>117159210.5</v>
      </c>
      <c r="AO554" s="261">
        <v>26909200</v>
      </c>
      <c r="AP554" s="261">
        <v>32840789.5</v>
      </c>
      <c r="AQ554" s="261"/>
      <c r="AS554" s="261"/>
    </row>
    <row r="555" spans="1:45" x14ac:dyDescent="0.25">
      <c r="A555" s="185">
        <v>30548</v>
      </c>
      <c r="B555" s="259" t="s">
        <v>1138</v>
      </c>
      <c r="C555" s="261">
        <v>0</v>
      </c>
      <c r="D555" s="261">
        <v>0</v>
      </c>
      <c r="E555" s="261">
        <v>0</v>
      </c>
      <c r="F555" s="261">
        <v>300000000</v>
      </c>
      <c r="G555" s="261">
        <f t="shared" si="241"/>
        <v>300000000</v>
      </c>
      <c r="H555" s="261">
        <v>36257443</v>
      </c>
      <c r="I555" s="261">
        <v>59407536</v>
      </c>
      <c r="J555" s="261">
        <f t="shared" si="239"/>
        <v>240592464</v>
      </c>
      <c r="K555" s="261">
        <v>13107962</v>
      </c>
      <c r="L555" s="261">
        <v>37857869</v>
      </c>
      <c r="M555" s="261">
        <v>0</v>
      </c>
      <c r="N555" s="261">
        <v>127571869</v>
      </c>
      <c r="O555" s="261">
        <v>253313809</v>
      </c>
      <c r="P555" s="261">
        <f t="shared" si="242"/>
        <v>193906273</v>
      </c>
      <c r="Q555" s="177">
        <f t="shared" si="240"/>
        <v>46686191</v>
      </c>
      <c r="R555" s="261">
        <f t="shared" si="243"/>
        <v>37857869</v>
      </c>
      <c r="T555" s="185">
        <v>30548</v>
      </c>
      <c r="U555" s="259" t="s">
        <v>1138</v>
      </c>
      <c r="V555" s="261">
        <v>0</v>
      </c>
      <c r="W555" s="261">
        <v>0</v>
      </c>
      <c r="X555" s="261">
        <v>0</v>
      </c>
      <c r="Y555" s="261">
        <v>300000000</v>
      </c>
      <c r="Z555" s="261">
        <v>300000000</v>
      </c>
      <c r="AA555" s="261">
        <v>36257443</v>
      </c>
      <c r="AB555" s="261">
        <v>59407536</v>
      </c>
      <c r="AC555" s="261">
        <v>240592464</v>
      </c>
      <c r="AD555" s="261">
        <v>13107962</v>
      </c>
      <c r="AE555" s="261">
        <v>37857869</v>
      </c>
      <c r="AF555" s="261">
        <v>22349574</v>
      </c>
      <c r="AG555" s="261">
        <v>127571869</v>
      </c>
      <c r="AH555" s="261">
        <v>253313809</v>
      </c>
      <c r="AI555" s="261">
        <v>193906273</v>
      </c>
      <c r="AJ555" s="261">
        <v>46686191</v>
      </c>
      <c r="AK555" s="261">
        <v>799907</v>
      </c>
      <c r="AL555" s="261">
        <v>123377869</v>
      </c>
      <c r="AM555" s="261">
        <v>249919716</v>
      </c>
      <c r="AN555" s="261">
        <v>249119809</v>
      </c>
      <c r="AO555" s="261">
        <v>212061847</v>
      </c>
      <c r="AP555" s="261">
        <v>50880191</v>
      </c>
      <c r="AQ555" s="261"/>
      <c r="AS555" s="261"/>
    </row>
    <row r="556" spans="1:45" x14ac:dyDescent="0.25">
      <c r="A556" s="185">
        <v>30549</v>
      </c>
      <c r="B556" s="259" t="s">
        <v>1139</v>
      </c>
      <c r="C556" s="261">
        <v>0</v>
      </c>
      <c r="D556" s="261">
        <v>0</v>
      </c>
      <c r="E556" s="261">
        <v>0</v>
      </c>
      <c r="F556" s="261">
        <v>34676744</v>
      </c>
      <c r="G556" s="261">
        <f t="shared" si="241"/>
        <v>34676744</v>
      </c>
      <c r="H556" s="261">
        <v>0</v>
      </c>
      <c r="I556" s="261">
        <v>0</v>
      </c>
      <c r="J556" s="261">
        <f t="shared" si="239"/>
        <v>34676744</v>
      </c>
      <c r="K556" s="261">
        <v>0</v>
      </c>
      <c r="L556" s="261">
        <v>0</v>
      </c>
      <c r="M556" s="261">
        <v>0</v>
      </c>
      <c r="N556" s="261">
        <v>0</v>
      </c>
      <c r="O556" s="261">
        <v>18200000</v>
      </c>
      <c r="P556" s="261">
        <f t="shared" si="242"/>
        <v>18200000</v>
      </c>
      <c r="Q556" s="177">
        <f t="shared" si="240"/>
        <v>16476744</v>
      </c>
      <c r="R556" s="261">
        <f t="shared" si="243"/>
        <v>0</v>
      </c>
      <c r="T556" s="185">
        <v>30549</v>
      </c>
      <c r="U556" s="259" t="s">
        <v>1139</v>
      </c>
      <c r="V556" s="261">
        <v>0</v>
      </c>
      <c r="W556" s="261">
        <v>0</v>
      </c>
      <c r="X556" s="261">
        <v>0</v>
      </c>
      <c r="Y556" s="261">
        <v>34676744</v>
      </c>
      <c r="Z556" s="261">
        <v>34676744</v>
      </c>
      <c r="AA556" s="261">
        <v>0</v>
      </c>
      <c r="AB556" s="261">
        <v>0</v>
      </c>
      <c r="AC556" s="261">
        <v>34676744</v>
      </c>
      <c r="AD556" s="261">
        <v>0</v>
      </c>
      <c r="AE556" s="261">
        <v>0</v>
      </c>
      <c r="AF556" s="261">
        <v>0</v>
      </c>
      <c r="AG556" s="261">
        <v>0</v>
      </c>
      <c r="AH556" s="261">
        <v>18200000</v>
      </c>
      <c r="AI556" s="261">
        <v>18200000</v>
      </c>
      <c r="AJ556" s="261">
        <v>16476744</v>
      </c>
      <c r="AK556" s="261">
        <v>0</v>
      </c>
      <c r="AL556" s="261">
        <v>0</v>
      </c>
      <c r="AM556" s="261">
        <v>18200000</v>
      </c>
      <c r="AN556" s="261">
        <v>18200000</v>
      </c>
      <c r="AO556" s="261">
        <v>18200000</v>
      </c>
      <c r="AP556" s="261">
        <v>16476744</v>
      </c>
      <c r="AQ556" s="261"/>
      <c r="AS556" s="261"/>
    </row>
    <row r="557" spans="1:45" x14ac:dyDescent="0.25">
      <c r="A557" s="185">
        <v>30550</v>
      </c>
      <c r="B557" s="259" t="s">
        <v>1140</v>
      </c>
      <c r="C557" s="261">
        <v>0</v>
      </c>
      <c r="D557" s="261">
        <v>0</v>
      </c>
      <c r="E557" s="261">
        <v>0</v>
      </c>
      <c r="F557" s="261">
        <v>330000000</v>
      </c>
      <c r="G557" s="261">
        <f t="shared" si="241"/>
        <v>330000000</v>
      </c>
      <c r="H557" s="261">
        <v>0</v>
      </c>
      <c r="I557" s="261">
        <v>24780553</v>
      </c>
      <c r="J557" s="261">
        <f t="shared" si="239"/>
        <v>305219447</v>
      </c>
      <c r="K557" s="261">
        <v>0</v>
      </c>
      <c r="L557" s="261">
        <v>6761384.6299999999</v>
      </c>
      <c r="M557" s="261">
        <v>0</v>
      </c>
      <c r="N557" s="261">
        <v>18112000</v>
      </c>
      <c r="O557" s="261">
        <v>148562706</v>
      </c>
      <c r="P557" s="261">
        <f t="shared" si="242"/>
        <v>123782153</v>
      </c>
      <c r="Q557" s="177">
        <f t="shared" si="240"/>
        <v>181437294</v>
      </c>
      <c r="R557" s="261">
        <f t="shared" si="243"/>
        <v>6761384.6299999999</v>
      </c>
      <c r="T557" s="185">
        <v>30550</v>
      </c>
      <c r="U557" s="259" t="s">
        <v>1140</v>
      </c>
      <c r="V557" s="261">
        <v>0</v>
      </c>
      <c r="W557" s="261">
        <v>0</v>
      </c>
      <c r="X557" s="261">
        <v>0</v>
      </c>
      <c r="Y557" s="261">
        <v>330000000</v>
      </c>
      <c r="Z557" s="261">
        <v>330000000</v>
      </c>
      <c r="AA557" s="261">
        <v>0</v>
      </c>
      <c r="AB557" s="261">
        <v>24780553</v>
      </c>
      <c r="AC557" s="261">
        <v>305219447</v>
      </c>
      <c r="AD557" s="261">
        <v>0</v>
      </c>
      <c r="AE557" s="261">
        <v>6761384.6299999999</v>
      </c>
      <c r="AF557" s="261">
        <v>18019168.370000001</v>
      </c>
      <c r="AG557" s="261">
        <v>18112000</v>
      </c>
      <c r="AH557" s="261">
        <v>148562706</v>
      </c>
      <c r="AI557" s="261">
        <v>123782153</v>
      </c>
      <c r="AJ557" s="261">
        <v>181437294</v>
      </c>
      <c r="AK557" s="261">
        <v>0</v>
      </c>
      <c r="AL557" s="261">
        <v>18112000</v>
      </c>
      <c r="AM557" s="261">
        <v>148562706</v>
      </c>
      <c r="AN557" s="261">
        <v>148562706</v>
      </c>
      <c r="AO557" s="261">
        <v>123782153</v>
      </c>
      <c r="AP557" s="261">
        <v>181437294</v>
      </c>
      <c r="AQ557" s="261"/>
      <c r="AS557" s="261"/>
    </row>
    <row r="558" spans="1:45" x14ac:dyDescent="0.25">
      <c r="A558" s="185">
        <v>30551</v>
      </c>
      <c r="B558" s="259" t="s">
        <v>1141</v>
      </c>
      <c r="C558" s="261">
        <v>0</v>
      </c>
      <c r="D558" s="261">
        <v>0</v>
      </c>
      <c r="E558" s="261">
        <v>0</v>
      </c>
      <c r="F558" s="261">
        <v>60000000</v>
      </c>
      <c r="G558" s="261">
        <f t="shared" si="241"/>
        <v>60000000</v>
      </c>
      <c r="H558" s="261">
        <v>0</v>
      </c>
      <c r="I558" s="261">
        <v>1650000</v>
      </c>
      <c r="J558" s="261">
        <f t="shared" si="239"/>
        <v>58350000</v>
      </c>
      <c r="K558" s="261">
        <v>0</v>
      </c>
      <c r="L558" s="261">
        <v>1650000</v>
      </c>
      <c r="M558" s="261">
        <v>0</v>
      </c>
      <c r="N558" s="261">
        <v>11759663</v>
      </c>
      <c r="O558" s="261">
        <v>66390863</v>
      </c>
      <c r="P558" s="261">
        <f t="shared" si="242"/>
        <v>64740863</v>
      </c>
      <c r="Q558" s="177">
        <f t="shared" si="240"/>
        <v>-6390863</v>
      </c>
      <c r="R558" s="261">
        <f t="shared" si="243"/>
        <v>1650000</v>
      </c>
      <c r="T558" s="185">
        <v>30551</v>
      </c>
      <c r="U558" s="259" t="s">
        <v>1141</v>
      </c>
      <c r="V558" s="261">
        <v>0</v>
      </c>
      <c r="W558" s="261">
        <v>0</v>
      </c>
      <c r="X558" s="261">
        <v>0</v>
      </c>
      <c r="Y558" s="261">
        <v>60000000</v>
      </c>
      <c r="Z558" s="261">
        <v>60000000</v>
      </c>
      <c r="AA558" s="261">
        <v>0</v>
      </c>
      <c r="AB558" s="261">
        <v>1650000</v>
      </c>
      <c r="AC558" s="261">
        <v>58350000</v>
      </c>
      <c r="AD558" s="261">
        <v>0</v>
      </c>
      <c r="AE558" s="261">
        <v>1650000</v>
      </c>
      <c r="AF558" s="261">
        <v>0</v>
      </c>
      <c r="AG558" s="261">
        <v>11759663</v>
      </c>
      <c r="AH558" s="261">
        <v>66390863</v>
      </c>
      <c r="AI558" s="261">
        <v>64740863</v>
      </c>
      <c r="AJ558" s="261">
        <v>-6390863</v>
      </c>
      <c r="AK558" s="261">
        <v>0</v>
      </c>
      <c r="AL558" s="261">
        <v>11759663</v>
      </c>
      <c r="AM558" s="261">
        <v>66390863</v>
      </c>
      <c r="AN558" s="261">
        <v>66390863</v>
      </c>
      <c r="AO558" s="261">
        <v>64740863</v>
      </c>
      <c r="AP558" s="261">
        <v>-6390863</v>
      </c>
      <c r="AQ558" s="261"/>
      <c r="AS558" s="261"/>
    </row>
    <row r="559" spans="1:45" x14ac:dyDescent="0.25">
      <c r="A559" s="185">
        <v>30552</v>
      </c>
      <c r="B559" s="259" t="s">
        <v>1142</v>
      </c>
      <c r="C559" s="261">
        <v>0</v>
      </c>
      <c r="D559" s="261">
        <v>0</v>
      </c>
      <c r="E559" s="261">
        <v>0</v>
      </c>
      <c r="F559" s="261">
        <v>150000000</v>
      </c>
      <c r="G559" s="261">
        <f t="shared" si="241"/>
        <v>150000000</v>
      </c>
      <c r="H559" s="261">
        <v>0</v>
      </c>
      <c r="I559" s="261">
        <v>23000000</v>
      </c>
      <c r="J559" s="261">
        <f t="shared" si="239"/>
        <v>127000000</v>
      </c>
      <c r="K559" s="261">
        <v>0</v>
      </c>
      <c r="L559" s="261">
        <v>0</v>
      </c>
      <c r="M559" s="261">
        <v>0</v>
      </c>
      <c r="N559" s="261">
        <v>0</v>
      </c>
      <c r="O559" s="261">
        <v>73400000</v>
      </c>
      <c r="P559" s="261">
        <f t="shared" si="242"/>
        <v>50400000</v>
      </c>
      <c r="Q559" s="177">
        <f t="shared" si="240"/>
        <v>76600000</v>
      </c>
      <c r="R559" s="261">
        <f t="shared" si="243"/>
        <v>0</v>
      </c>
      <c r="T559" s="185">
        <v>30552</v>
      </c>
      <c r="U559" s="259" t="s">
        <v>1142</v>
      </c>
      <c r="V559" s="261">
        <v>0</v>
      </c>
      <c r="W559" s="261">
        <v>0</v>
      </c>
      <c r="X559" s="261">
        <v>0</v>
      </c>
      <c r="Y559" s="261">
        <v>150000000</v>
      </c>
      <c r="Z559" s="261">
        <v>150000000</v>
      </c>
      <c r="AA559" s="261">
        <v>0</v>
      </c>
      <c r="AB559" s="261">
        <v>23000000</v>
      </c>
      <c r="AC559" s="261">
        <v>127000000</v>
      </c>
      <c r="AD559" s="261">
        <v>0</v>
      </c>
      <c r="AE559" s="261">
        <v>0</v>
      </c>
      <c r="AF559" s="261">
        <v>23000000</v>
      </c>
      <c r="AG559" s="261">
        <v>0</v>
      </c>
      <c r="AH559" s="261">
        <v>73400000</v>
      </c>
      <c r="AI559" s="261">
        <v>50400000</v>
      </c>
      <c r="AJ559" s="261">
        <v>76600000</v>
      </c>
      <c r="AK559" s="261">
        <v>0</v>
      </c>
      <c r="AL559" s="261">
        <v>0</v>
      </c>
      <c r="AM559" s="261">
        <v>73400000</v>
      </c>
      <c r="AN559" s="261">
        <v>73400000</v>
      </c>
      <c r="AO559" s="261">
        <v>50400000</v>
      </c>
      <c r="AP559" s="261">
        <v>76600000</v>
      </c>
      <c r="AQ559" s="261"/>
      <c r="AS559" s="261"/>
    </row>
    <row r="560" spans="1:45" x14ac:dyDescent="0.25">
      <c r="A560" s="185">
        <v>30553</v>
      </c>
      <c r="B560" s="259" t="s">
        <v>1143</v>
      </c>
      <c r="C560" s="261">
        <v>0</v>
      </c>
      <c r="D560" s="261">
        <v>0</v>
      </c>
      <c r="E560" s="261">
        <v>0</v>
      </c>
      <c r="F560" s="261">
        <v>113000000</v>
      </c>
      <c r="G560" s="261">
        <f t="shared" si="241"/>
        <v>113000000</v>
      </c>
      <c r="H560" s="261">
        <v>26309000</v>
      </c>
      <c r="I560" s="261">
        <v>31309000</v>
      </c>
      <c r="J560" s="261">
        <f t="shared" si="239"/>
        <v>81691000</v>
      </c>
      <c r="K560" s="261">
        <v>6000000</v>
      </c>
      <c r="L560" s="261">
        <v>6000000</v>
      </c>
      <c r="M560" s="261">
        <v>0</v>
      </c>
      <c r="N560" s="261">
        <v>11000000</v>
      </c>
      <c r="O560" s="261">
        <v>57309000</v>
      </c>
      <c r="P560" s="261">
        <f t="shared" si="242"/>
        <v>26000000</v>
      </c>
      <c r="Q560" s="177">
        <f t="shared" si="240"/>
        <v>55691000</v>
      </c>
      <c r="R560" s="261">
        <f t="shared" si="243"/>
        <v>6000000</v>
      </c>
      <c r="T560" s="185">
        <v>30553</v>
      </c>
      <c r="U560" s="259" t="s">
        <v>1143</v>
      </c>
      <c r="V560" s="261">
        <v>0</v>
      </c>
      <c r="W560" s="261">
        <v>0</v>
      </c>
      <c r="X560" s="261">
        <v>0</v>
      </c>
      <c r="Y560" s="261">
        <v>113000000</v>
      </c>
      <c r="Z560" s="261">
        <v>113000000</v>
      </c>
      <c r="AA560" s="261">
        <v>26309000</v>
      </c>
      <c r="AB560" s="261">
        <v>31309000</v>
      </c>
      <c r="AC560" s="261">
        <v>81691000</v>
      </c>
      <c r="AD560" s="261">
        <v>6000000</v>
      </c>
      <c r="AE560" s="261">
        <v>6000000</v>
      </c>
      <c r="AF560" s="261">
        <v>25309000</v>
      </c>
      <c r="AG560" s="261">
        <v>11000000</v>
      </c>
      <c r="AH560" s="261">
        <v>57309000</v>
      </c>
      <c r="AI560" s="261">
        <v>26000000</v>
      </c>
      <c r="AJ560" s="261">
        <v>55691000</v>
      </c>
      <c r="AK560" s="261">
        <v>0</v>
      </c>
      <c r="AL560" s="261">
        <v>11000000</v>
      </c>
      <c r="AM560" s="261">
        <v>57309000</v>
      </c>
      <c r="AN560" s="261">
        <v>57309000</v>
      </c>
      <c r="AO560" s="261">
        <v>41309000</v>
      </c>
      <c r="AP560" s="261">
        <v>55691000</v>
      </c>
      <c r="AQ560" s="261"/>
      <c r="AS560" s="261"/>
    </row>
    <row r="561" spans="1:45" x14ac:dyDescent="0.25">
      <c r="A561" s="185">
        <v>30554</v>
      </c>
      <c r="B561" s="259" t="s">
        <v>1144</v>
      </c>
      <c r="C561" s="261">
        <v>0</v>
      </c>
      <c r="D561" s="261">
        <v>0</v>
      </c>
      <c r="E561" s="261">
        <v>0</v>
      </c>
      <c r="F561" s="261">
        <v>100000000</v>
      </c>
      <c r="G561" s="261">
        <f t="shared" si="241"/>
        <v>100000000</v>
      </c>
      <c r="H561" s="261">
        <v>0</v>
      </c>
      <c r="I561" s="261">
        <v>0</v>
      </c>
      <c r="J561" s="261">
        <f t="shared" si="239"/>
        <v>100000000</v>
      </c>
      <c r="K561" s="261">
        <v>0</v>
      </c>
      <c r="L561" s="261">
        <v>0</v>
      </c>
      <c r="M561" s="261">
        <v>0</v>
      </c>
      <c r="N561" s="261">
        <v>0</v>
      </c>
      <c r="O561" s="261">
        <v>6997200</v>
      </c>
      <c r="P561" s="261">
        <f t="shared" si="242"/>
        <v>6997200</v>
      </c>
      <c r="Q561" s="177">
        <f t="shared" si="240"/>
        <v>93002800</v>
      </c>
      <c r="R561" s="261">
        <f t="shared" si="243"/>
        <v>0</v>
      </c>
      <c r="T561" s="185">
        <v>30554</v>
      </c>
      <c r="U561" s="259" t="s">
        <v>1144</v>
      </c>
      <c r="V561" s="261">
        <v>0</v>
      </c>
      <c r="W561" s="261">
        <v>0</v>
      </c>
      <c r="X561" s="261">
        <v>0</v>
      </c>
      <c r="Y561" s="261">
        <v>100000000</v>
      </c>
      <c r="Z561" s="261">
        <v>100000000</v>
      </c>
      <c r="AA561" s="261">
        <v>0</v>
      </c>
      <c r="AB561" s="261">
        <v>0</v>
      </c>
      <c r="AC561" s="261">
        <v>100000000</v>
      </c>
      <c r="AD561" s="261">
        <v>0</v>
      </c>
      <c r="AE561" s="261">
        <v>0</v>
      </c>
      <c r="AF561" s="261">
        <v>0</v>
      </c>
      <c r="AG561" s="261">
        <v>0</v>
      </c>
      <c r="AH561" s="261">
        <v>6997200</v>
      </c>
      <c r="AI561" s="261">
        <v>6997200</v>
      </c>
      <c r="AJ561" s="261">
        <v>93002800</v>
      </c>
      <c r="AK561" s="261">
        <v>0</v>
      </c>
      <c r="AL561" s="261">
        <v>0</v>
      </c>
      <c r="AM561" s="261">
        <v>6997200</v>
      </c>
      <c r="AN561" s="261">
        <v>6997200</v>
      </c>
      <c r="AO561" s="261">
        <v>6997200</v>
      </c>
      <c r="AP561" s="261">
        <v>93002800</v>
      </c>
      <c r="AQ561" s="261"/>
      <c r="AS561" s="261"/>
    </row>
    <row r="562" spans="1:45" x14ac:dyDescent="0.25">
      <c r="A562" s="185">
        <v>30555</v>
      </c>
      <c r="B562" s="259" t="s">
        <v>1145</v>
      </c>
      <c r="C562" s="261">
        <v>0</v>
      </c>
      <c r="D562" s="261">
        <v>0</v>
      </c>
      <c r="E562" s="261">
        <v>0</v>
      </c>
      <c r="F562" s="261">
        <v>26000000</v>
      </c>
      <c r="G562" s="261">
        <f t="shared" si="241"/>
        <v>26000000</v>
      </c>
      <c r="H562" s="261">
        <v>5000000</v>
      </c>
      <c r="I562" s="261">
        <v>5000000</v>
      </c>
      <c r="J562" s="261">
        <f t="shared" si="239"/>
        <v>21000000</v>
      </c>
      <c r="K562" s="261">
        <v>0</v>
      </c>
      <c r="L562" s="261">
        <v>0</v>
      </c>
      <c r="M562" s="261">
        <v>0</v>
      </c>
      <c r="N562" s="261">
        <v>2600000</v>
      </c>
      <c r="O562" s="261">
        <v>7600000</v>
      </c>
      <c r="P562" s="261">
        <f t="shared" si="242"/>
        <v>2600000</v>
      </c>
      <c r="Q562" s="177">
        <f t="shared" si="240"/>
        <v>18400000</v>
      </c>
      <c r="R562" s="261">
        <f t="shared" si="243"/>
        <v>0</v>
      </c>
      <c r="T562" s="185">
        <v>30555</v>
      </c>
      <c r="U562" s="259" t="s">
        <v>1145</v>
      </c>
      <c r="V562" s="261">
        <v>0</v>
      </c>
      <c r="W562" s="261">
        <v>0</v>
      </c>
      <c r="X562" s="261">
        <v>0</v>
      </c>
      <c r="Y562" s="261">
        <v>26000000</v>
      </c>
      <c r="Z562" s="261">
        <v>26000000</v>
      </c>
      <c r="AA562" s="261">
        <v>5000000</v>
      </c>
      <c r="AB562" s="261">
        <v>5000000</v>
      </c>
      <c r="AC562" s="261">
        <v>21000000</v>
      </c>
      <c r="AD562" s="261">
        <v>0</v>
      </c>
      <c r="AE562" s="261">
        <v>0</v>
      </c>
      <c r="AF562" s="261">
        <v>5000000</v>
      </c>
      <c r="AG562" s="261">
        <v>2600000</v>
      </c>
      <c r="AH562" s="261">
        <v>7600000</v>
      </c>
      <c r="AI562" s="261">
        <v>2600000</v>
      </c>
      <c r="AJ562" s="261">
        <v>18400000</v>
      </c>
      <c r="AK562" s="261">
        <v>0</v>
      </c>
      <c r="AL562" s="261">
        <v>0</v>
      </c>
      <c r="AM562" s="261">
        <v>5000000</v>
      </c>
      <c r="AN562" s="261">
        <v>5000000</v>
      </c>
      <c r="AO562" s="261">
        <v>0</v>
      </c>
      <c r="AP562" s="261">
        <v>21000000</v>
      </c>
      <c r="AQ562" s="261"/>
      <c r="AS562" s="261"/>
    </row>
    <row r="563" spans="1:45" x14ac:dyDescent="0.25">
      <c r="A563" s="185">
        <v>30556</v>
      </c>
      <c r="B563" s="259" t="s">
        <v>1146</v>
      </c>
      <c r="C563" s="261">
        <v>0</v>
      </c>
      <c r="D563" s="261">
        <v>0</v>
      </c>
      <c r="E563" s="261">
        <v>0</v>
      </c>
      <c r="F563" s="261">
        <v>38000000</v>
      </c>
      <c r="G563" s="261">
        <f t="shared" si="241"/>
        <v>38000000</v>
      </c>
      <c r="H563" s="261">
        <v>0</v>
      </c>
      <c r="I563" s="261">
        <v>23000000</v>
      </c>
      <c r="J563" s="261">
        <f t="shared" si="239"/>
        <v>15000000</v>
      </c>
      <c r="K563" s="261">
        <v>0</v>
      </c>
      <c r="L563" s="261">
        <v>0</v>
      </c>
      <c r="M563" s="261">
        <v>0</v>
      </c>
      <c r="N563" s="261">
        <v>0</v>
      </c>
      <c r="O563" s="261">
        <v>38000000</v>
      </c>
      <c r="P563" s="261">
        <f t="shared" si="242"/>
        <v>15000000</v>
      </c>
      <c r="Q563" s="177">
        <f t="shared" si="240"/>
        <v>0</v>
      </c>
      <c r="R563" s="261">
        <f t="shared" si="243"/>
        <v>0</v>
      </c>
      <c r="T563" s="185">
        <v>30556</v>
      </c>
      <c r="U563" s="259" t="s">
        <v>1146</v>
      </c>
      <c r="V563" s="261">
        <v>0</v>
      </c>
      <c r="W563" s="261">
        <v>0</v>
      </c>
      <c r="X563" s="261">
        <v>0</v>
      </c>
      <c r="Y563" s="261">
        <v>38000000</v>
      </c>
      <c r="Z563" s="261">
        <v>38000000</v>
      </c>
      <c r="AA563" s="261">
        <v>0</v>
      </c>
      <c r="AB563" s="261">
        <v>23000000</v>
      </c>
      <c r="AC563" s="261">
        <v>15000000</v>
      </c>
      <c r="AD563" s="261">
        <v>0</v>
      </c>
      <c r="AE563" s="261">
        <v>0</v>
      </c>
      <c r="AF563" s="261">
        <v>23000000</v>
      </c>
      <c r="AG563" s="261">
        <v>0</v>
      </c>
      <c r="AH563" s="261">
        <v>38000000</v>
      </c>
      <c r="AI563" s="261">
        <v>15000000</v>
      </c>
      <c r="AJ563" s="261">
        <v>0</v>
      </c>
      <c r="AK563" s="261">
        <v>0</v>
      </c>
      <c r="AL563" s="261">
        <v>0</v>
      </c>
      <c r="AM563" s="261">
        <v>38000000</v>
      </c>
      <c r="AN563" s="261">
        <v>38000000</v>
      </c>
      <c r="AO563" s="261">
        <v>15000000</v>
      </c>
      <c r="AP563" s="261">
        <v>0</v>
      </c>
      <c r="AQ563" s="261"/>
      <c r="AS563" s="261"/>
    </row>
    <row r="564" spans="1:45" x14ac:dyDescent="0.25">
      <c r="A564" s="185">
        <v>30557</v>
      </c>
      <c r="B564" s="259" t="s">
        <v>1147</v>
      </c>
      <c r="C564" s="261">
        <v>0</v>
      </c>
      <c r="D564" s="261">
        <v>0</v>
      </c>
      <c r="E564" s="261">
        <v>0</v>
      </c>
      <c r="F564" s="261">
        <v>229494574</v>
      </c>
      <c r="G564" s="261">
        <f t="shared" si="241"/>
        <v>229494574</v>
      </c>
      <c r="H564" s="261">
        <v>0</v>
      </c>
      <c r="I564" s="261">
        <v>0</v>
      </c>
      <c r="J564" s="261">
        <f t="shared" si="239"/>
        <v>229494574</v>
      </c>
      <c r="K564" s="261">
        <v>0</v>
      </c>
      <c r="L564" s="261">
        <v>0</v>
      </c>
      <c r="M564" s="261">
        <v>0</v>
      </c>
      <c r="N564" s="261">
        <v>0</v>
      </c>
      <c r="O564" s="261">
        <v>229494574</v>
      </c>
      <c r="P564" s="261">
        <f t="shared" si="242"/>
        <v>229494574</v>
      </c>
      <c r="Q564" s="177">
        <f t="shared" si="240"/>
        <v>0</v>
      </c>
      <c r="R564" s="261">
        <f t="shared" si="243"/>
        <v>0</v>
      </c>
      <c r="T564" s="185">
        <v>30557</v>
      </c>
      <c r="U564" s="259" t="s">
        <v>1147</v>
      </c>
      <c r="V564" s="261">
        <v>0</v>
      </c>
      <c r="W564" s="261">
        <v>0</v>
      </c>
      <c r="X564" s="261">
        <v>0</v>
      </c>
      <c r="Y564" s="261">
        <v>229494574</v>
      </c>
      <c r="Z564" s="261">
        <v>229494574</v>
      </c>
      <c r="AA564" s="261">
        <v>0</v>
      </c>
      <c r="AB564" s="261">
        <v>0</v>
      </c>
      <c r="AC564" s="261">
        <v>229494574</v>
      </c>
      <c r="AD564" s="261">
        <v>0</v>
      </c>
      <c r="AE564" s="261">
        <v>0</v>
      </c>
      <c r="AF564" s="261">
        <v>0</v>
      </c>
      <c r="AG564" s="261">
        <v>0</v>
      </c>
      <c r="AH564" s="261">
        <v>229494574</v>
      </c>
      <c r="AI564" s="261">
        <v>229494574</v>
      </c>
      <c r="AJ564" s="261">
        <v>0</v>
      </c>
      <c r="AK564" s="261">
        <v>0</v>
      </c>
      <c r="AL564" s="261">
        <v>0</v>
      </c>
      <c r="AM564" s="261">
        <v>229494574</v>
      </c>
      <c r="AN564" s="261">
        <v>229494574</v>
      </c>
      <c r="AO564" s="261">
        <v>229494574</v>
      </c>
      <c r="AP564" s="261">
        <v>0</v>
      </c>
      <c r="AQ564" s="261"/>
      <c r="AS564" s="261"/>
    </row>
    <row r="565" spans="1:45" x14ac:dyDescent="0.25">
      <c r="A565" s="185">
        <v>30558</v>
      </c>
      <c r="B565" s="259" t="s">
        <v>1148</v>
      </c>
      <c r="C565" s="261">
        <v>0</v>
      </c>
      <c r="D565" s="261">
        <v>0</v>
      </c>
      <c r="E565" s="261">
        <v>0</v>
      </c>
      <c r="F565" s="261">
        <v>82058214</v>
      </c>
      <c r="G565" s="261">
        <f t="shared" si="241"/>
        <v>82058214</v>
      </c>
      <c r="H565" s="261">
        <v>2440043</v>
      </c>
      <c r="I565" s="261">
        <v>3982280</v>
      </c>
      <c r="J565" s="261">
        <f t="shared" si="239"/>
        <v>78075934</v>
      </c>
      <c r="K565" s="261">
        <v>2440043</v>
      </c>
      <c r="L565" s="261">
        <v>3982280</v>
      </c>
      <c r="M565" s="261">
        <v>0</v>
      </c>
      <c r="N565" s="261">
        <v>0</v>
      </c>
      <c r="O565" s="261">
        <v>82058214</v>
      </c>
      <c r="P565" s="261">
        <f t="shared" si="242"/>
        <v>78075934</v>
      </c>
      <c r="Q565" s="177">
        <f t="shared" si="240"/>
        <v>0</v>
      </c>
      <c r="R565" s="261">
        <f t="shared" si="243"/>
        <v>3982280</v>
      </c>
      <c r="T565" s="185">
        <v>30558</v>
      </c>
      <c r="U565" s="259" t="s">
        <v>1148</v>
      </c>
      <c r="V565" s="261">
        <v>0</v>
      </c>
      <c r="W565" s="261">
        <v>0</v>
      </c>
      <c r="X565" s="261">
        <v>0</v>
      </c>
      <c r="Y565" s="261">
        <v>82058214</v>
      </c>
      <c r="Z565" s="261">
        <v>82058214</v>
      </c>
      <c r="AA565" s="261">
        <v>2440043</v>
      </c>
      <c r="AB565" s="261">
        <v>3982280</v>
      </c>
      <c r="AC565" s="261">
        <v>78075934</v>
      </c>
      <c r="AD565" s="261">
        <v>2440043</v>
      </c>
      <c r="AE565" s="261">
        <v>3982280</v>
      </c>
      <c r="AF565" s="261">
        <v>0</v>
      </c>
      <c r="AG565" s="261">
        <v>0</v>
      </c>
      <c r="AH565" s="261">
        <v>82058214</v>
      </c>
      <c r="AI565" s="261">
        <v>78075934</v>
      </c>
      <c r="AJ565" s="261">
        <v>0</v>
      </c>
      <c r="AK565" s="261">
        <v>0</v>
      </c>
      <c r="AL565" s="261">
        <v>0</v>
      </c>
      <c r="AM565" s="261">
        <v>82058214</v>
      </c>
      <c r="AN565" s="261">
        <v>82058214</v>
      </c>
      <c r="AO565" s="261">
        <v>78724817</v>
      </c>
      <c r="AP565" s="261">
        <v>0</v>
      </c>
      <c r="AQ565" s="261"/>
      <c r="AS565" s="261"/>
    </row>
    <row r="566" spans="1:45" x14ac:dyDescent="0.25">
      <c r="A566" s="185">
        <v>30559</v>
      </c>
      <c r="B566" s="259" t="s">
        <v>1149</v>
      </c>
      <c r="C566" s="261">
        <v>0</v>
      </c>
      <c r="D566" s="261">
        <v>0</v>
      </c>
      <c r="E566" s="261">
        <v>0</v>
      </c>
      <c r="F566" s="261">
        <v>64458136</v>
      </c>
      <c r="G566" s="261">
        <f t="shared" si="241"/>
        <v>64458136</v>
      </c>
      <c r="H566" s="261">
        <v>0</v>
      </c>
      <c r="I566" s="261">
        <v>0</v>
      </c>
      <c r="J566" s="261">
        <f t="shared" si="239"/>
        <v>64458136</v>
      </c>
      <c r="K566" s="261">
        <v>0</v>
      </c>
      <c r="L566" s="261">
        <v>0</v>
      </c>
      <c r="M566" s="261">
        <v>0</v>
      </c>
      <c r="N566" s="261">
        <v>0</v>
      </c>
      <c r="O566" s="261">
        <v>0</v>
      </c>
      <c r="P566" s="261">
        <f t="shared" si="242"/>
        <v>0</v>
      </c>
      <c r="Q566" s="177">
        <f t="shared" si="240"/>
        <v>64458136</v>
      </c>
      <c r="R566" s="261">
        <f t="shared" si="243"/>
        <v>0</v>
      </c>
      <c r="T566" s="185">
        <v>30559</v>
      </c>
      <c r="U566" s="259" t="s">
        <v>1149</v>
      </c>
      <c r="V566" s="261">
        <v>0</v>
      </c>
      <c r="W566" s="261">
        <v>0</v>
      </c>
      <c r="X566" s="261">
        <v>0</v>
      </c>
      <c r="Y566" s="261">
        <v>64458136</v>
      </c>
      <c r="Z566" s="261">
        <v>64458136</v>
      </c>
      <c r="AA566" s="261">
        <v>0</v>
      </c>
      <c r="AB566" s="261">
        <v>0</v>
      </c>
      <c r="AC566" s="261">
        <v>64458136</v>
      </c>
      <c r="AD566" s="261">
        <v>0</v>
      </c>
      <c r="AE566" s="261">
        <v>0</v>
      </c>
      <c r="AF566" s="261">
        <v>0</v>
      </c>
      <c r="AG566" s="261">
        <v>0</v>
      </c>
      <c r="AH566" s="261">
        <v>0</v>
      </c>
      <c r="AI566" s="261">
        <v>0</v>
      </c>
      <c r="AJ566" s="261">
        <v>64458136</v>
      </c>
      <c r="AK566" s="261">
        <v>0</v>
      </c>
      <c r="AL566" s="261">
        <v>0</v>
      </c>
      <c r="AM566" s="261">
        <v>0</v>
      </c>
      <c r="AN566" s="261">
        <v>0</v>
      </c>
      <c r="AO566" s="261">
        <v>0</v>
      </c>
      <c r="AP566" s="261">
        <v>64458136</v>
      </c>
      <c r="AQ566" s="261"/>
      <c r="AS566" s="261"/>
    </row>
    <row r="567" spans="1:45" x14ac:dyDescent="0.25">
      <c r="A567" s="185">
        <v>30560</v>
      </c>
      <c r="B567" s="259" t="s">
        <v>1320</v>
      </c>
      <c r="C567" s="261"/>
      <c r="D567" s="261"/>
      <c r="E567" s="261"/>
      <c r="F567" s="261">
        <v>1378889239.3499999</v>
      </c>
      <c r="G567" s="261">
        <f t="shared" si="241"/>
        <v>1378889239.3499999</v>
      </c>
      <c r="H567" s="261">
        <v>47941703</v>
      </c>
      <c r="I567" s="261">
        <v>48747903</v>
      </c>
      <c r="J567" s="261">
        <f t="shared" si="239"/>
        <v>1330141336.3499999</v>
      </c>
      <c r="K567" s="261">
        <v>21380641</v>
      </c>
      <c r="L567" s="261">
        <v>21380641</v>
      </c>
      <c r="M567" s="261"/>
      <c r="N567" s="261">
        <v>82181203</v>
      </c>
      <c r="O567" s="261">
        <v>82987403</v>
      </c>
      <c r="P567" s="261"/>
      <c r="Q567" s="177">
        <f t="shared" si="240"/>
        <v>1295901836.3499999</v>
      </c>
      <c r="R567" s="261"/>
      <c r="T567" s="185">
        <v>30560</v>
      </c>
      <c r="U567" s="259" t="s">
        <v>1320</v>
      </c>
      <c r="V567" s="261">
        <v>0</v>
      </c>
      <c r="W567" s="261">
        <v>0</v>
      </c>
      <c r="X567" s="261">
        <v>0</v>
      </c>
      <c r="Y567" s="261">
        <v>1378889239.3499999</v>
      </c>
      <c r="Z567" s="261">
        <v>1378889239.3499999</v>
      </c>
      <c r="AA567" s="261">
        <v>47941703</v>
      </c>
      <c r="AB567" s="261">
        <v>48747903</v>
      </c>
      <c r="AC567" s="261">
        <v>1330141336.3499999</v>
      </c>
      <c r="AD567" s="261">
        <v>21380641</v>
      </c>
      <c r="AE567" s="261">
        <v>21380641</v>
      </c>
      <c r="AF567" s="261">
        <v>27367262</v>
      </c>
      <c r="AG567" s="261">
        <v>82181203</v>
      </c>
      <c r="AH567" s="261">
        <v>82987403</v>
      </c>
      <c r="AI567" s="261">
        <v>34239500</v>
      </c>
      <c r="AJ567" s="261">
        <v>1295901836.3499999</v>
      </c>
      <c r="AK567" s="261">
        <v>0</v>
      </c>
      <c r="AL567" s="261">
        <v>69312093</v>
      </c>
      <c r="AM567" s="261">
        <v>70118293</v>
      </c>
      <c r="AN567" s="261">
        <v>70118293</v>
      </c>
      <c r="AO567" s="261">
        <v>25855000</v>
      </c>
      <c r="AP567" s="261">
        <v>1308770946.3499999</v>
      </c>
      <c r="AQ567" s="261"/>
      <c r="AS567" s="261"/>
    </row>
    <row r="568" spans="1:45" x14ac:dyDescent="0.25">
      <c r="A568" s="185">
        <v>30561</v>
      </c>
      <c r="B568" s="259" t="s">
        <v>1321</v>
      </c>
      <c r="C568" s="261"/>
      <c r="D568" s="261"/>
      <c r="E568" s="261"/>
      <c r="F568" s="261">
        <v>623550884.63999999</v>
      </c>
      <c r="G568" s="261">
        <f t="shared" si="241"/>
        <v>623550884.63999999</v>
      </c>
      <c r="H568" s="261">
        <v>7964129</v>
      </c>
      <c r="I568" s="261">
        <v>13964129</v>
      </c>
      <c r="J568" s="261">
        <f t="shared" si="239"/>
        <v>609586755.63999999</v>
      </c>
      <c r="K568" s="261">
        <v>6000000</v>
      </c>
      <c r="L568" s="261">
        <v>6000000</v>
      </c>
      <c r="M568" s="261"/>
      <c r="N568" s="261">
        <v>11750000</v>
      </c>
      <c r="O568" s="261">
        <v>25950000</v>
      </c>
      <c r="P568" s="261"/>
      <c r="Q568" s="177">
        <f t="shared" si="240"/>
        <v>597600884.63999999</v>
      </c>
      <c r="R568" s="261"/>
      <c r="T568" s="185">
        <v>30561</v>
      </c>
      <c r="U568" s="259" t="s">
        <v>1321</v>
      </c>
      <c r="V568" s="261">
        <v>0</v>
      </c>
      <c r="W568" s="261">
        <v>0</v>
      </c>
      <c r="X568" s="261">
        <v>0</v>
      </c>
      <c r="Y568" s="261">
        <v>623550884.63999999</v>
      </c>
      <c r="Z568" s="261">
        <v>623550884.63999999</v>
      </c>
      <c r="AA568" s="261">
        <v>7964129</v>
      </c>
      <c r="AB568" s="261">
        <v>13964129</v>
      </c>
      <c r="AC568" s="261">
        <v>609586755.63999999</v>
      </c>
      <c r="AD568" s="261">
        <v>6000000</v>
      </c>
      <c r="AE568" s="261">
        <v>6000000</v>
      </c>
      <c r="AF568" s="261">
        <v>7964129</v>
      </c>
      <c r="AG568" s="261">
        <v>11750000</v>
      </c>
      <c r="AH568" s="261">
        <v>25950000</v>
      </c>
      <c r="AI568" s="261">
        <v>11985871</v>
      </c>
      <c r="AJ568" s="261">
        <v>597600884.63999999</v>
      </c>
      <c r="AK568" s="261">
        <v>0</v>
      </c>
      <c r="AL568" s="261">
        <v>3250000</v>
      </c>
      <c r="AM568" s="261">
        <v>17450000</v>
      </c>
      <c r="AN568" s="261">
        <v>17450000</v>
      </c>
      <c r="AO568" s="261">
        <v>11450000</v>
      </c>
      <c r="AP568" s="261">
        <v>606100884.63999999</v>
      </c>
      <c r="AQ568" s="261"/>
      <c r="AS568" s="261"/>
    </row>
    <row r="569" spans="1:45" x14ac:dyDescent="0.25">
      <c r="A569" s="185">
        <v>30562</v>
      </c>
      <c r="B569" s="259" t="s">
        <v>1322</v>
      </c>
      <c r="C569" s="261"/>
      <c r="D569" s="261"/>
      <c r="E569" s="261"/>
      <c r="F569" s="261">
        <v>103076452</v>
      </c>
      <c r="G569" s="261">
        <f t="shared" si="241"/>
        <v>103076452</v>
      </c>
      <c r="H569" s="261">
        <v>0</v>
      </c>
      <c r="I569" s="261">
        <v>0</v>
      </c>
      <c r="J569" s="261">
        <f t="shared" si="239"/>
        <v>103076452</v>
      </c>
      <c r="K569" s="261">
        <v>0</v>
      </c>
      <c r="L569" s="261">
        <v>0</v>
      </c>
      <c r="M569" s="261"/>
      <c r="N569" s="261">
        <v>0</v>
      </c>
      <c r="O569" s="261">
        <v>0</v>
      </c>
      <c r="P569" s="261"/>
      <c r="Q569" s="177">
        <f t="shared" si="240"/>
        <v>103076452</v>
      </c>
      <c r="R569" s="261"/>
      <c r="T569" s="185">
        <v>30562</v>
      </c>
      <c r="U569" s="259" t="s">
        <v>1322</v>
      </c>
      <c r="V569" s="261">
        <v>0</v>
      </c>
      <c r="W569" s="261">
        <v>0</v>
      </c>
      <c r="X569" s="261">
        <v>0</v>
      </c>
      <c r="Y569" s="261">
        <v>103076452</v>
      </c>
      <c r="Z569" s="261">
        <v>103076452</v>
      </c>
      <c r="AA569" s="261">
        <v>0</v>
      </c>
      <c r="AB569" s="261">
        <v>0</v>
      </c>
      <c r="AC569" s="261">
        <v>103076452</v>
      </c>
      <c r="AD569" s="261">
        <v>0</v>
      </c>
      <c r="AE569" s="261">
        <v>0</v>
      </c>
      <c r="AF569" s="261">
        <v>0</v>
      </c>
      <c r="AG569" s="261">
        <v>0</v>
      </c>
      <c r="AH569" s="261">
        <v>0</v>
      </c>
      <c r="AI569" s="261">
        <v>0</v>
      </c>
      <c r="AJ569" s="261">
        <v>103076452</v>
      </c>
      <c r="AK569" s="261">
        <v>0</v>
      </c>
      <c r="AL569" s="261">
        <v>0</v>
      </c>
      <c r="AM569" s="261">
        <v>0</v>
      </c>
      <c r="AN569" s="261">
        <v>0</v>
      </c>
      <c r="AO569" s="261">
        <v>0</v>
      </c>
      <c r="AP569" s="261">
        <v>103076452</v>
      </c>
      <c r="AQ569" s="261"/>
      <c r="AS569" s="261"/>
    </row>
    <row r="570" spans="1:45" x14ac:dyDescent="0.25">
      <c r="A570" s="185">
        <v>30563</v>
      </c>
      <c r="B570" s="259" t="s">
        <v>1323</v>
      </c>
      <c r="C570" s="261"/>
      <c r="D570" s="261"/>
      <c r="E570" s="261"/>
      <c r="F570" s="261">
        <v>1371456257.53</v>
      </c>
      <c r="G570" s="261">
        <f t="shared" si="241"/>
        <v>1371456257.53</v>
      </c>
      <c r="H570" s="261">
        <v>33630211</v>
      </c>
      <c r="I570" s="261">
        <v>36350211</v>
      </c>
      <c r="J570" s="261">
        <f t="shared" si="239"/>
        <v>1335106046.53</v>
      </c>
      <c r="K570" s="261">
        <v>5150211</v>
      </c>
      <c r="L570" s="261">
        <v>5150211</v>
      </c>
      <c r="M570" s="261"/>
      <c r="N570" s="261">
        <v>60766780</v>
      </c>
      <c r="O570" s="261">
        <v>70196780</v>
      </c>
      <c r="P570" s="261"/>
      <c r="Q570" s="177">
        <f t="shared" si="240"/>
        <v>1301259477.53</v>
      </c>
      <c r="R570" s="261"/>
      <c r="T570" s="185">
        <v>30563</v>
      </c>
      <c r="U570" s="259" t="s">
        <v>1323</v>
      </c>
      <c r="V570" s="261">
        <v>0</v>
      </c>
      <c r="W570" s="261">
        <v>0</v>
      </c>
      <c r="X570" s="261">
        <v>0</v>
      </c>
      <c r="Y570" s="261">
        <v>1371456257.53</v>
      </c>
      <c r="Z570" s="261">
        <v>1371456257.53</v>
      </c>
      <c r="AA570" s="261">
        <v>33630211</v>
      </c>
      <c r="AB570" s="261">
        <v>36350211</v>
      </c>
      <c r="AC570" s="261">
        <v>1335106046.53</v>
      </c>
      <c r="AD570" s="261">
        <v>5150211</v>
      </c>
      <c r="AE570" s="261">
        <v>5150211</v>
      </c>
      <c r="AF570" s="261">
        <v>31200000</v>
      </c>
      <c r="AG570" s="261">
        <v>60766780</v>
      </c>
      <c r="AH570" s="261">
        <v>70196780</v>
      </c>
      <c r="AI570" s="261">
        <v>33846569</v>
      </c>
      <c r="AJ570" s="261">
        <v>1301259477.53</v>
      </c>
      <c r="AK570" s="261">
        <v>45000000</v>
      </c>
      <c r="AL570" s="261">
        <v>49420780</v>
      </c>
      <c r="AM570" s="261">
        <v>103850780</v>
      </c>
      <c r="AN570" s="261">
        <v>58850780</v>
      </c>
      <c r="AO570" s="261">
        <v>32500569</v>
      </c>
      <c r="AP570" s="261">
        <v>1312605477.53</v>
      </c>
      <c r="AQ570" s="261"/>
      <c r="AS570" s="261"/>
    </row>
    <row r="571" spans="1:45" x14ac:dyDescent="0.25">
      <c r="A571" s="185">
        <v>30564</v>
      </c>
      <c r="B571" s="259" t="s">
        <v>1324</v>
      </c>
      <c r="C571" s="261"/>
      <c r="D571" s="261"/>
      <c r="E571" s="261"/>
      <c r="F571" s="261">
        <v>386139097.20999998</v>
      </c>
      <c r="G571" s="261">
        <f t="shared" si="241"/>
        <v>386139097.20999998</v>
      </c>
      <c r="H571" s="261">
        <v>0</v>
      </c>
      <c r="I571" s="261">
        <v>0</v>
      </c>
      <c r="J571" s="261">
        <f t="shared" si="239"/>
        <v>386139097.20999998</v>
      </c>
      <c r="K571" s="261">
        <v>0</v>
      </c>
      <c r="L571" s="261">
        <v>0</v>
      </c>
      <c r="M571" s="261"/>
      <c r="N571" s="261">
        <v>10000000</v>
      </c>
      <c r="O571" s="261">
        <v>10000000</v>
      </c>
      <c r="P571" s="261"/>
      <c r="Q571" s="177">
        <f t="shared" si="240"/>
        <v>376139097.20999998</v>
      </c>
      <c r="R571" s="261"/>
      <c r="T571" s="185">
        <v>30564</v>
      </c>
      <c r="U571" s="259" t="s">
        <v>1324</v>
      </c>
      <c r="V571" s="261">
        <v>0</v>
      </c>
      <c r="W571" s="261">
        <v>0</v>
      </c>
      <c r="X571" s="261">
        <v>0</v>
      </c>
      <c r="Y571" s="261">
        <v>386139097.20999998</v>
      </c>
      <c r="Z571" s="261">
        <v>386139097.20999998</v>
      </c>
      <c r="AA571" s="261">
        <v>0</v>
      </c>
      <c r="AB571" s="261">
        <v>0</v>
      </c>
      <c r="AC571" s="261">
        <v>386139097.20999998</v>
      </c>
      <c r="AD571" s="261">
        <v>0</v>
      </c>
      <c r="AE571" s="261">
        <v>0</v>
      </c>
      <c r="AF571" s="261">
        <v>0</v>
      </c>
      <c r="AG571" s="261">
        <v>10000000</v>
      </c>
      <c r="AH571" s="261">
        <v>10000000</v>
      </c>
      <c r="AI571" s="261">
        <v>10000000</v>
      </c>
      <c r="AJ571" s="261">
        <v>376139097.20999998</v>
      </c>
      <c r="AK571" s="261">
        <v>0</v>
      </c>
      <c r="AL571" s="261">
        <v>10000000</v>
      </c>
      <c r="AM571" s="261">
        <v>10000000</v>
      </c>
      <c r="AN571" s="261">
        <v>10000000</v>
      </c>
      <c r="AO571" s="261">
        <v>10000000</v>
      </c>
      <c r="AP571" s="261">
        <v>376139097.20999998</v>
      </c>
      <c r="AQ571" s="261"/>
      <c r="AS571" s="261"/>
    </row>
    <row r="572" spans="1:45" x14ac:dyDescent="0.25">
      <c r="A572" s="185">
        <v>30565</v>
      </c>
      <c r="B572" s="259" t="s">
        <v>1325</v>
      </c>
      <c r="C572" s="261"/>
      <c r="D572" s="261"/>
      <c r="E572" s="261"/>
      <c r="F572" s="261">
        <v>304047902.19</v>
      </c>
      <c r="G572" s="261">
        <f t="shared" si="241"/>
        <v>304047902.19</v>
      </c>
      <c r="H572" s="261">
        <v>20193931</v>
      </c>
      <c r="I572" s="261">
        <v>20193931</v>
      </c>
      <c r="J572" s="261">
        <f t="shared" si="239"/>
        <v>283853971.19</v>
      </c>
      <c r="K572" s="261">
        <v>18693931</v>
      </c>
      <c r="L572" s="261">
        <v>18693931</v>
      </c>
      <c r="M572" s="261"/>
      <c r="N572" s="261">
        <v>21393931</v>
      </c>
      <c r="O572" s="261">
        <v>121393931</v>
      </c>
      <c r="P572" s="261"/>
      <c r="Q572" s="177">
        <f t="shared" si="240"/>
        <v>182653971.19</v>
      </c>
      <c r="R572" s="261"/>
      <c r="T572" s="185">
        <v>30565</v>
      </c>
      <c r="U572" s="259" t="s">
        <v>1325</v>
      </c>
      <c r="V572" s="261">
        <v>0</v>
      </c>
      <c r="W572" s="261">
        <v>0</v>
      </c>
      <c r="X572" s="261">
        <v>0</v>
      </c>
      <c r="Y572" s="261">
        <v>304047902.19</v>
      </c>
      <c r="Z572" s="261">
        <v>304047902.19</v>
      </c>
      <c r="AA572" s="261">
        <v>20193931</v>
      </c>
      <c r="AB572" s="261">
        <v>20193931</v>
      </c>
      <c r="AC572" s="261">
        <v>283853971.19</v>
      </c>
      <c r="AD572" s="261">
        <v>18693931</v>
      </c>
      <c r="AE572" s="261">
        <v>18693931</v>
      </c>
      <c r="AF572" s="261">
        <v>1500000</v>
      </c>
      <c r="AG572" s="261">
        <v>21393931</v>
      </c>
      <c r="AH572" s="261">
        <v>121393931</v>
      </c>
      <c r="AI572" s="261">
        <v>101200000</v>
      </c>
      <c r="AJ572" s="261">
        <v>182653971.19</v>
      </c>
      <c r="AK572" s="261">
        <v>0</v>
      </c>
      <c r="AL572" s="261">
        <v>26393931</v>
      </c>
      <c r="AM572" s="261">
        <v>126393931</v>
      </c>
      <c r="AN572" s="261">
        <v>126393931</v>
      </c>
      <c r="AO572" s="261">
        <v>106200000</v>
      </c>
      <c r="AP572" s="261">
        <v>177653971.19</v>
      </c>
      <c r="AQ572" s="261"/>
      <c r="AS572" s="261"/>
    </row>
    <row r="573" spans="1:45" x14ac:dyDescent="0.25">
      <c r="A573" s="185">
        <v>30566</v>
      </c>
      <c r="B573" s="259" t="s">
        <v>1326</v>
      </c>
      <c r="C573" s="261"/>
      <c r="D573" s="261"/>
      <c r="E573" s="261"/>
      <c r="F573" s="261">
        <v>141851494</v>
      </c>
      <c r="G573" s="261">
        <f t="shared" si="241"/>
        <v>141851494</v>
      </c>
      <c r="H573" s="261">
        <v>6032000</v>
      </c>
      <c r="I573" s="261">
        <v>6032000</v>
      </c>
      <c r="J573" s="261">
        <f t="shared" si="239"/>
        <v>135819494</v>
      </c>
      <c r="K573" s="261">
        <v>6032000</v>
      </c>
      <c r="L573" s="261">
        <v>6032000</v>
      </c>
      <c r="M573" s="261"/>
      <c r="N573" s="261">
        <v>16032000</v>
      </c>
      <c r="O573" s="261">
        <v>16032000</v>
      </c>
      <c r="P573" s="261"/>
      <c r="Q573" s="177">
        <f t="shared" si="240"/>
        <v>125819494</v>
      </c>
      <c r="R573" s="261"/>
      <c r="T573" s="185">
        <v>30566</v>
      </c>
      <c r="U573" s="259" t="s">
        <v>1326</v>
      </c>
      <c r="V573" s="261">
        <v>0</v>
      </c>
      <c r="W573" s="261">
        <v>0</v>
      </c>
      <c r="X573" s="261">
        <v>0</v>
      </c>
      <c r="Y573" s="261">
        <v>141851494</v>
      </c>
      <c r="Z573" s="261">
        <v>141851494</v>
      </c>
      <c r="AA573" s="261">
        <v>6032000</v>
      </c>
      <c r="AB573" s="261">
        <v>6032000</v>
      </c>
      <c r="AC573" s="261">
        <v>135819494</v>
      </c>
      <c r="AD573" s="261">
        <v>6032000</v>
      </c>
      <c r="AE573" s="261">
        <v>6032000</v>
      </c>
      <c r="AF573" s="261">
        <v>0</v>
      </c>
      <c r="AG573" s="261">
        <v>16032000</v>
      </c>
      <c r="AH573" s="261">
        <v>16032000</v>
      </c>
      <c r="AI573" s="261">
        <v>10000000</v>
      </c>
      <c r="AJ573" s="261">
        <v>125819494</v>
      </c>
      <c r="AK573" s="261">
        <v>0</v>
      </c>
      <c r="AL573" s="261">
        <v>16032000</v>
      </c>
      <c r="AM573" s="261">
        <v>16032000</v>
      </c>
      <c r="AN573" s="261">
        <v>16032000</v>
      </c>
      <c r="AO573" s="261">
        <v>10000000</v>
      </c>
      <c r="AP573" s="261">
        <v>125819494</v>
      </c>
      <c r="AQ573" s="261"/>
      <c r="AS573" s="261"/>
    </row>
    <row r="574" spans="1:45" x14ac:dyDescent="0.25">
      <c r="A574" s="185">
        <v>30567</v>
      </c>
      <c r="B574" s="259" t="s">
        <v>1327</v>
      </c>
      <c r="C574" s="261"/>
      <c r="D574" s="261"/>
      <c r="E574" s="261"/>
      <c r="F574" s="261">
        <v>353341070</v>
      </c>
      <c r="G574" s="261">
        <f t="shared" si="241"/>
        <v>353341070</v>
      </c>
      <c r="H574" s="261">
        <v>0</v>
      </c>
      <c r="I574" s="261">
        <v>3000000</v>
      </c>
      <c r="J574" s="261">
        <f t="shared" si="239"/>
        <v>350341070</v>
      </c>
      <c r="K574" s="261">
        <v>3000000</v>
      </c>
      <c r="L574" s="261">
        <v>3000000</v>
      </c>
      <c r="M574" s="261"/>
      <c r="N574" s="261">
        <v>9000000</v>
      </c>
      <c r="O574" s="261">
        <v>12000000</v>
      </c>
      <c r="P574" s="261"/>
      <c r="Q574" s="177">
        <f t="shared" si="240"/>
        <v>341341070</v>
      </c>
      <c r="R574" s="261"/>
      <c r="S574" s="208"/>
      <c r="T574" s="185">
        <v>30567</v>
      </c>
      <c r="U574" s="259" t="s">
        <v>1327</v>
      </c>
      <c r="V574" s="261">
        <v>0</v>
      </c>
      <c r="W574" s="261">
        <v>0</v>
      </c>
      <c r="X574" s="261">
        <v>0</v>
      </c>
      <c r="Y574" s="261">
        <v>353341070</v>
      </c>
      <c r="Z574" s="261">
        <v>353341070</v>
      </c>
      <c r="AA574" s="261">
        <v>0</v>
      </c>
      <c r="AB574" s="261">
        <v>3000000</v>
      </c>
      <c r="AC574" s="261">
        <v>350341070</v>
      </c>
      <c r="AD574" s="261">
        <v>3000000</v>
      </c>
      <c r="AE574" s="261">
        <v>3000000</v>
      </c>
      <c r="AF574" s="261">
        <v>0</v>
      </c>
      <c r="AG574" s="261">
        <v>9000000</v>
      </c>
      <c r="AH574" s="261">
        <v>12000000</v>
      </c>
      <c r="AI574" s="261">
        <v>9000000</v>
      </c>
      <c r="AJ574" s="261">
        <v>341341070</v>
      </c>
      <c r="AK574" s="261">
        <v>0</v>
      </c>
      <c r="AL574" s="261">
        <v>9000000</v>
      </c>
      <c r="AM574" s="261">
        <v>12000000</v>
      </c>
      <c r="AN574" s="261">
        <v>12000000</v>
      </c>
      <c r="AO574" s="261">
        <v>9000000</v>
      </c>
      <c r="AP574" s="261">
        <v>341341070</v>
      </c>
      <c r="AQ574" s="261"/>
      <c r="AS574" s="261"/>
    </row>
    <row r="575" spans="1:45" x14ac:dyDescent="0.25">
      <c r="A575" s="185">
        <v>30568</v>
      </c>
      <c r="B575" s="259" t="s">
        <v>1328</v>
      </c>
      <c r="C575" s="261"/>
      <c r="D575" s="261"/>
      <c r="E575" s="261"/>
      <c r="F575" s="261">
        <v>85677941</v>
      </c>
      <c r="G575" s="261">
        <f t="shared" si="241"/>
        <v>85677941</v>
      </c>
      <c r="H575" s="261">
        <v>0</v>
      </c>
      <c r="I575" s="261">
        <v>0</v>
      </c>
      <c r="J575" s="261">
        <f t="shared" si="239"/>
        <v>85677941</v>
      </c>
      <c r="K575" s="261">
        <v>0</v>
      </c>
      <c r="L575" s="261">
        <v>0</v>
      </c>
      <c r="M575" s="261"/>
      <c r="N575" s="261">
        <v>0</v>
      </c>
      <c r="O575" s="261">
        <v>32000000</v>
      </c>
      <c r="P575" s="261"/>
      <c r="Q575" s="177">
        <f t="shared" si="240"/>
        <v>53677941</v>
      </c>
      <c r="R575" s="261"/>
      <c r="S575" s="208"/>
      <c r="T575" s="185">
        <v>30568</v>
      </c>
      <c r="U575" s="259" t="s">
        <v>1328</v>
      </c>
      <c r="V575" s="261">
        <v>0</v>
      </c>
      <c r="W575" s="261">
        <v>0</v>
      </c>
      <c r="X575" s="261">
        <v>0</v>
      </c>
      <c r="Y575" s="261">
        <v>85677941</v>
      </c>
      <c r="Z575" s="261">
        <v>85677941</v>
      </c>
      <c r="AA575" s="261">
        <v>0</v>
      </c>
      <c r="AB575" s="261">
        <v>0</v>
      </c>
      <c r="AC575" s="261">
        <v>85677941</v>
      </c>
      <c r="AD575" s="261">
        <v>0</v>
      </c>
      <c r="AE575" s="261">
        <v>0</v>
      </c>
      <c r="AF575" s="261">
        <v>0</v>
      </c>
      <c r="AG575" s="261">
        <v>0</v>
      </c>
      <c r="AH575" s="261">
        <v>32000000</v>
      </c>
      <c r="AI575" s="261">
        <v>32000000</v>
      </c>
      <c r="AJ575" s="261">
        <v>53677941</v>
      </c>
      <c r="AK575" s="261">
        <v>0</v>
      </c>
      <c r="AL575" s="261">
        <v>0</v>
      </c>
      <c r="AM575" s="261">
        <v>32000000</v>
      </c>
      <c r="AN575" s="261">
        <v>32000000</v>
      </c>
      <c r="AO575" s="261">
        <v>32000000</v>
      </c>
      <c r="AP575" s="261">
        <v>53677941</v>
      </c>
      <c r="AQ575" s="261"/>
      <c r="AS575" s="261"/>
    </row>
    <row r="576" spans="1:45" x14ac:dyDescent="0.25">
      <c r="A576" s="185">
        <v>30569</v>
      </c>
      <c r="B576" s="259" t="s">
        <v>1329</v>
      </c>
      <c r="C576" s="261"/>
      <c r="D576" s="261"/>
      <c r="E576" s="261"/>
      <c r="F576" s="261">
        <v>622025004.83000004</v>
      </c>
      <c r="G576" s="261">
        <f t="shared" si="241"/>
        <v>622025004.83000004</v>
      </c>
      <c r="H576" s="261">
        <v>874635</v>
      </c>
      <c r="I576" s="261">
        <v>874635</v>
      </c>
      <c r="J576" s="261">
        <f t="shared" si="239"/>
        <v>621150369.83000004</v>
      </c>
      <c r="K576" s="261">
        <v>874635</v>
      </c>
      <c r="L576" s="261">
        <v>874635</v>
      </c>
      <c r="M576" s="261"/>
      <c r="N576" s="261">
        <v>113181635</v>
      </c>
      <c r="O576" s="261">
        <v>113181635</v>
      </c>
      <c r="P576" s="261"/>
      <c r="Q576" s="177">
        <f t="shared" si="240"/>
        <v>508843369.83000004</v>
      </c>
      <c r="R576" s="261"/>
      <c r="T576" s="185">
        <v>30569</v>
      </c>
      <c r="U576" s="259" t="s">
        <v>1329</v>
      </c>
      <c r="V576" s="261">
        <v>0</v>
      </c>
      <c r="W576" s="261">
        <v>0</v>
      </c>
      <c r="X576" s="261">
        <v>0</v>
      </c>
      <c r="Y576" s="261">
        <v>622025004.83000004</v>
      </c>
      <c r="Z576" s="261">
        <v>622025004.83000004</v>
      </c>
      <c r="AA576" s="261">
        <v>874635</v>
      </c>
      <c r="AB576" s="261">
        <v>874635</v>
      </c>
      <c r="AC576" s="261">
        <v>621150369.83000004</v>
      </c>
      <c r="AD576" s="261">
        <v>874635</v>
      </c>
      <c r="AE576" s="261">
        <v>874635</v>
      </c>
      <c r="AF576" s="261">
        <v>0</v>
      </c>
      <c r="AG576" s="261">
        <v>113181635</v>
      </c>
      <c r="AH576" s="261">
        <v>113181635</v>
      </c>
      <c r="AI576" s="261">
        <v>112307000</v>
      </c>
      <c r="AJ576" s="261">
        <v>508843369.83000004</v>
      </c>
      <c r="AK576" s="261">
        <v>0</v>
      </c>
      <c r="AL576" s="261">
        <v>113181635</v>
      </c>
      <c r="AM576" s="261">
        <v>113181635</v>
      </c>
      <c r="AN576" s="261">
        <v>113181635</v>
      </c>
      <c r="AO576" s="261">
        <v>112307000</v>
      </c>
      <c r="AP576" s="261">
        <v>508843369.83000004</v>
      </c>
      <c r="AQ576" s="261"/>
      <c r="AS576" s="261"/>
    </row>
    <row r="577" spans="1:45" x14ac:dyDescent="0.25">
      <c r="A577" s="185">
        <v>30570</v>
      </c>
      <c r="B577" s="259" t="s">
        <v>1330</v>
      </c>
      <c r="C577" s="261"/>
      <c r="D577" s="261"/>
      <c r="E577" s="261"/>
      <c r="F577" s="261">
        <v>499958666.35000002</v>
      </c>
      <c r="G577" s="261">
        <f t="shared" si="241"/>
        <v>499958666.35000002</v>
      </c>
      <c r="H577" s="261">
        <v>0</v>
      </c>
      <c r="I577" s="261">
        <v>0</v>
      </c>
      <c r="J577" s="261">
        <f t="shared" si="239"/>
        <v>499958666.35000002</v>
      </c>
      <c r="K577" s="261">
        <v>0</v>
      </c>
      <c r="L577" s="261">
        <v>0</v>
      </c>
      <c r="M577" s="261"/>
      <c r="N577" s="261">
        <v>0</v>
      </c>
      <c r="O577" s="261">
        <v>0</v>
      </c>
      <c r="P577" s="261"/>
      <c r="Q577" s="177">
        <f t="shared" si="240"/>
        <v>499958666.35000002</v>
      </c>
      <c r="R577" s="261"/>
      <c r="T577" s="185">
        <v>30570</v>
      </c>
      <c r="U577" s="259" t="s">
        <v>1330</v>
      </c>
      <c r="V577" s="261">
        <v>0</v>
      </c>
      <c r="W577" s="261">
        <v>0</v>
      </c>
      <c r="X577" s="261">
        <v>0</v>
      </c>
      <c r="Y577" s="261">
        <v>499958666.35000002</v>
      </c>
      <c r="Z577" s="261">
        <v>499958666.35000002</v>
      </c>
      <c r="AA577" s="261">
        <v>0</v>
      </c>
      <c r="AB577" s="261">
        <v>0</v>
      </c>
      <c r="AC577" s="261">
        <v>499958666.35000002</v>
      </c>
      <c r="AD577" s="261">
        <v>0</v>
      </c>
      <c r="AE577" s="261">
        <v>0</v>
      </c>
      <c r="AF577" s="261">
        <v>0</v>
      </c>
      <c r="AG577" s="261">
        <v>0</v>
      </c>
      <c r="AH577" s="261">
        <v>0</v>
      </c>
      <c r="AI577" s="261">
        <v>0</v>
      </c>
      <c r="AJ577" s="261">
        <v>499958666.35000002</v>
      </c>
      <c r="AK577" s="261">
        <v>0</v>
      </c>
      <c r="AL577" s="261">
        <v>0</v>
      </c>
      <c r="AM577" s="261">
        <v>0</v>
      </c>
      <c r="AN577" s="261">
        <v>0</v>
      </c>
      <c r="AO577" s="261">
        <v>0</v>
      </c>
      <c r="AP577" s="261">
        <v>499958666.35000002</v>
      </c>
      <c r="AQ577" s="261"/>
      <c r="AS577" s="261"/>
    </row>
    <row r="578" spans="1:45" x14ac:dyDescent="0.25">
      <c r="A578" s="185">
        <v>30571</v>
      </c>
      <c r="B578" s="259" t="s">
        <v>1331</v>
      </c>
      <c r="C578" s="261"/>
      <c r="D578" s="261"/>
      <c r="E578" s="261"/>
      <c r="F578" s="261">
        <v>761662456.14999998</v>
      </c>
      <c r="G578" s="261">
        <f t="shared" si="241"/>
        <v>761662456.14999998</v>
      </c>
      <c r="H578" s="261">
        <v>6577090</v>
      </c>
      <c r="I578" s="261">
        <v>12577090</v>
      </c>
      <c r="J578" s="261">
        <f t="shared" si="239"/>
        <v>749085366.14999998</v>
      </c>
      <c r="K578" s="261">
        <v>12417090</v>
      </c>
      <c r="L578" s="261">
        <v>12417090</v>
      </c>
      <c r="M578" s="261"/>
      <c r="N578" s="261">
        <v>7077090</v>
      </c>
      <c r="O578" s="261">
        <v>17577090</v>
      </c>
      <c r="P578" s="261"/>
      <c r="Q578" s="177">
        <f t="shared" si="240"/>
        <v>744085366.14999998</v>
      </c>
      <c r="R578" s="261"/>
      <c r="T578" s="185">
        <v>30571</v>
      </c>
      <c r="U578" s="259" t="s">
        <v>1331</v>
      </c>
      <c r="V578" s="261">
        <v>0</v>
      </c>
      <c r="W578" s="261">
        <v>0</v>
      </c>
      <c r="X578" s="261">
        <v>0</v>
      </c>
      <c r="Y578" s="261">
        <v>761662456.14999998</v>
      </c>
      <c r="Z578" s="261">
        <v>761662456.14999998</v>
      </c>
      <c r="AA578" s="261">
        <v>6577090</v>
      </c>
      <c r="AB578" s="261">
        <v>12577090</v>
      </c>
      <c r="AC578" s="261">
        <v>749085366.14999998</v>
      </c>
      <c r="AD578" s="261">
        <v>12417090</v>
      </c>
      <c r="AE578" s="261">
        <v>12417090</v>
      </c>
      <c r="AF578" s="261">
        <v>160000</v>
      </c>
      <c r="AG578" s="261">
        <v>7077090</v>
      </c>
      <c r="AH578" s="261">
        <v>17577090</v>
      </c>
      <c r="AI578" s="261">
        <v>5000000</v>
      </c>
      <c r="AJ578" s="261">
        <v>744085366.14999998</v>
      </c>
      <c r="AK578" s="261">
        <v>0</v>
      </c>
      <c r="AL578" s="261">
        <v>1917090</v>
      </c>
      <c r="AM578" s="261">
        <v>12417090</v>
      </c>
      <c r="AN578" s="261">
        <v>12417090</v>
      </c>
      <c r="AO578" s="261">
        <v>0</v>
      </c>
      <c r="AP578" s="261">
        <v>749245366.14999998</v>
      </c>
      <c r="AQ578" s="261"/>
      <c r="AS578" s="261"/>
    </row>
    <row r="579" spans="1:45" x14ac:dyDescent="0.25">
      <c r="A579" s="185">
        <v>30572</v>
      </c>
      <c r="B579" s="259" t="s">
        <v>1332</v>
      </c>
      <c r="C579" s="261"/>
      <c r="D579" s="261"/>
      <c r="E579" s="261"/>
      <c r="F579" s="261">
        <v>1324646203.4300001</v>
      </c>
      <c r="G579" s="261">
        <f t="shared" si="241"/>
        <v>1324646203.4300001</v>
      </c>
      <c r="H579" s="261">
        <v>62887532.990000002</v>
      </c>
      <c r="I579" s="261">
        <v>112901532.98999999</v>
      </c>
      <c r="J579" s="261">
        <f t="shared" si="239"/>
        <v>1211744670.4400001</v>
      </c>
      <c r="K579" s="261">
        <v>26287532.989999998</v>
      </c>
      <c r="L579" s="261">
        <v>26287532.989999998</v>
      </c>
      <c r="M579" s="261"/>
      <c r="N579" s="261">
        <v>89556638.989999995</v>
      </c>
      <c r="O579" s="261">
        <v>139570638.99000001</v>
      </c>
      <c r="P579" s="261"/>
      <c r="Q579" s="177">
        <f t="shared" si="240"/>
        <v>1185075564.4400001</v>
      </c>
      <c r="R579" s="261"/>
      <c r="T579" s="185">
        <v>30572</v>
      </c>
      <c r="U579" s="259" t="s">
        <v>1332</v>
      </c>
      <c r="V579" s="261">
        <v>0</v>
      </c>
      <c r="W579" s="261">
        <v>0</v>
      </c>
      <c r="X579" s="261">
        <v>0</v>
      </c>
      <c r="Y579" s="261">
        <v>1324646203.4300001</v>
      </c>
      <c r="Z579" s="261">
        <v>1324646203.4300001</v>
      </c>
      <c r="AA579" s="261">
        <v>62887532.990000002</v>
      </c>
      <c r="AB579" s="261">
        <v>112901532.98999999</v>
      </c>
      <c r="AC579" s="261">
        <v>1211744670.4400001</v>
      </c>
      <c r="AD579" s="261">
        <v>26287532.989999998</v>
      </c>
      <c r="AE579" s="261">
        <v>26287532.989999998</v>
      </c>
      <c r="AF579" s="261">
        <v>86614000</v>
      </c>
      <c r="AG579" s="261">
        <v>89556638.989999995</v>
      </c>
      <c r="AH579" s="261">
        <v>139570638.99000001</v>
      </c>
      <c r="AI579" s="261">
        <v>26669106.000000015</v>
      </c>
      <c r="AJ579" s="261">
        <v>1185075564.4400001</v>
      </c>
      <c r="AK579" s="261">
        <v>0</v>
      </c>
      <c r="AL579" s="261">
        <v>76916638.989999995</v>
      </c>
      <c r="AM579" s="261">
        <v>126930638.98999999</v>
      </c>
      <c r="AN579" s="261">
        <v>126930638.98999999</v>
      </c>
      <c r="AO579" s="261">
        <v>26669106</v>
      </c>
      <c r="AP579" s="261">
        <v>1197715564.4400001</v>
      </c>
      <c r="AQ579" s="261"/>
      <c r="AS579" s="261"/>
    </row>
    <row r="580" spans="1:45" x14ac:dyDescent="0.25">
      <c r="A580" s="4">
        <v>306</v>
      </c>
      <c r="B580" s="5" t="s">
        <v>696</v>
      </c>
      <c r="C580" s="6">
        <f>+C581</f>
        <v>199000000</v>
      </c>
      <c r="D580" s="6">
        <f t="shared" ref="D580:R580" si="244">+D581</f>
        <v>0</v>
      </c>
      <c r="E580" s="6">
        <f t="shared" si="244"/>
        <v>0</v>
      </c>
      <c r="F580" s="6">
        <f t="shared" si="244"/>
        <v>11730696620.099998</v>
      </c>
      <c r="G580" s="6">
        <f t="shared" si="244"/>
        <v>11929696620.099998</v>
      </c>
      <c r="H580" s="6">
        <f t="shared" si="244"/>
        <v>1557530262</v>
      </c>
      <c r="I580" s="6">
        <f t="shared" si="244"/>
        <v>4854578658.71</v>
      </c>
      <c r="J580" s="6">
        <f t="shared" si="239"/>
        <v>7075117961.3899984</v>
      </c>
      <c r="K580" s="6">
        <f t="shared" si="244"/>
        <v>262158441.25999999</v>
      </c>
      <c r="L580" s="6">
        <f t="shared" si="244"/>
        <v>586388638.0999999</v>
      </c>
      <c r="M580" s="6">
        <f t="shared" si="244"/>
        <v>4268190020.6099997</v>
      </c>
      <c r="N580" s="6">
        <f t="shared" si="244"/>
        <v>1041177841</v>
      </c>
      <c r="O580" s="6">
        <f t="shared" si="244"/>
        <v>6923352332.8000002</v>
      </c>
      <c r="P580" s="6">
        <f t="shared" si="244"/>
        <v>2245056829.25</v>
      </c>
      <c r="Q580" s="6">
        <f t="shared" si="240"/>
        <v>5006344287.2999983</v>
      </c>
      <c r="R580" s="6">
        <f t="shared" si="244"/>
        <v>586388638.0999999</v>
      </c>
      <c r="T580" s="185">
        <v>306</v>
      </c>
      <c r="U580" s="259" t="s">
        <v>696</v>
      </c>
      <c r="V580" s="261">
        <v>199000000</v>
      </c>
      <c r="W580" s="261">
        <v>0</v>
      </c>
      <c r="X580" s="261">
        <v>0</v>
      </c>
      <c r="Y580" s="261">
        <v>11260849561.099998</v>
      </c>
      <c r="Z580" s="261">
        <v>11459849561.099998</v>
      </c>
      <c r="AA580" s="261">
        <v>1508530262</v>
      </c>
      <c r="AB580" s="261">
        <v>4484598369.2600002</v>
      </c>
      <c r="AC580" s="261">
        <v>6975251191.8399982</v>
      </c>
      <c r="AD580" s="261">
        <v>174374045.25999999</v>
      </c>
      <c r="AE580" s="261">
        <v>340013338.10000002</v>
      </c>
      <c r="AF580" s="261">
        <v>4144845031.1600003</v>
      </c>
      <c r="AG580" s="261">
        <v>1006677841</v>
      </c>
      <c r="AH580" s="261">
        <v>6538852332.8000002</v>
      </c>
      <c r="AI580" s="261">
        <v>2054253963.54</v>
      </c>
      <c r="AJ580" s="261">
        <v>4920997228.2999983</v>
      </c>
      <c r="AK580" s="261">
        <v>6260000</v>
      </c>
      <c r="AL580" s="261">
        <v>458710371</v>
      </c>
      <c r="AM580" s="261">
        <v>5997144862.8000002</v>
      </c>
      <c r="AN580" s="261">
        <v>5990884862.8000002</v>
      </c>
      <c r="AO580" s="261">
        <v>2336717720.54</v>
      </c>
      <c r="AP580" s="261">
        <v>5468964698.2999983</v>
      </c>
      <c r="AQ580" s="6"/>
      <c r="AS580" s="6"/>
    </row>
    <row r="581" spans="1:45" x14ac:dyDescent="0.25">
      <c r="A581" s="4">
        <v>3061</v>
      </c>
      <c r="B581" s="5" t="s">
        <v>697</v>
      </c>
      <c r="C581" s="6">
        <f>SUM(C582:C618)</f>
        <v>199000000</v>
      </c>
      <c r="D581" s="6">
        <f t="shared" ref="D581:R581" si="245">SUM(D582:D618)</f>
        <v>0</v>
      </c>
      <c r="E581" s="6">
        <f t="shared" si="245"/>
        <v>0</v>
      </c>
      <c r="F581" s="6">
        <f t="shared" si="245"/>
        <v>11730696620.099998</v>
      </c>
      <c r="G581" s="6">
        <f t="shared" si="245"/>
        <v>11929696620.099998</v>
      </c>
      <c r="H581" s="6">
        <f t="shared" si="245"/>
        <v>1557530262</v>
      </c>
      <c r="I581" s="6">
        <f t="shared" si="245"/>
        <v>4854578658.71</v>
      </c>
      <c r="J581" s="6">
        <f t="shared" si="239"/>
        <v>7075117961.3899984</v>
      </c>
      <c r="K581" s="6">
        <f t="shared" si="245"/>
        <v>262158441.25999999</v>
      </c>
      <c r="L581" s="6">
        <f t="shared" si="245"/>
        <v>586388638.0999999</v>
      </c>
      <c r="M581" s="6">
        <f t="shared" si="245"/>
        <v>4268190020.6099997</v>
      </c>
      <c r="N581" s="6">
        <f t="shared" si="245"/>
        <v>1041177841</v>
      </c>
      <c r="O581" s="6">
        <f t="shared" si="245"/>
        <v>6923352332.8000002</v>
      </c>
      <c r="P581" s="6">
        <f t="shared" si="245"/>
        <v>2245056829.25</v>
      </c>
      <c r="Q581" s="6">
        <f t="shared" si="240"/>
        <v>5006344287.2999983</v>
      </c>
      <c r="R581" s="6">
        <f t="shared" si="245"/>
        <v>586388638.0999999</v>
      </c>
      <c r="T581" s="185">
        <v>3061</v>
      </c>
      <c r="U581" s="259" t="s">
        <v>697</v>
      </c>
      <c r="V581" s="261">
        <v>199000000</v>
      </c>
      <c r="W581" s="261">
        <v>0</v>
      </c>
      <c r="X581" s="261">
        <v>0</v>
      </c>
      <c r="Y581" s="261">
        <v>11260849561.099998</v>
      </c>
      <c r="Z581" s="261">
        <v>11459849561.099998</v>
      </c>
      <c r="AA581" s="261">
        <v>1508530262</v>
      </c>
      <c r="AB581" s="261">
        <v>4484598369.2600002</v>
      </c>
      <c r="AC581" s="261">
        <v>6975251191.8399982</v>
      </c>
      <c r="AD581" s="261">
        <v>174374045.25999999</v>
      </c>
      <c r="AE581" s="261">
        <v>340013338.10000002</v>
      </c>
      <c r="AF581" s="261">
        <v>4144845031.1600003</v>
      </c>
      <c r="AG581" s="261">
        <v>1006677841</v>
      </c>
      <c r="AH581" s="261">
        <v>6538852332.8000002</v>
      </c>
      <c r="AI581" s="261">
        <v>2054253963.54</v>
      </c>
      <c r="AJ581" s="261">
        <v>4920997228.2999983</v>
      </c>
      <c r="AK581" s="261">
        <v>6260000</v>
      </c>
      <c r="AL581" s="261">
        <v>458710371</v>
      </c>
      <c r="AM581" s="261">
        <v>5997144862.8000002</v>
      </c>
      <c r="AN581" s="261">
        <v>5990884862.8000002</v>
      </c>
      <c r="AO581" s="261">
        <v>2336717720.54</v>
      </c>
      <c r="AP581" s="261">
        <v>5468964698.2999983</v>
      </c>
      <c r="AQ581" s="6"/>
      <c r="AS581" s="6"/>
    </row>
    <row r="582" spans="1:45" x14ac:dyDescent="0.25">
      <c r="A582" s="185">
        <v>306101</v>
      </c>
      <c r="B582" s="259" t="s">
        <v>698</v>
      </c>
      <c r="C582" s="261">
        <v>49500000</v>
      </c>
      <c r="D582" s="261">
        <v>0</v>
      </c>
      <c r="E582" s="261">
        <v>0</v>
      </c>
      <c r="F582" s="261">
        <v>0</v>
      </c>
      <c r="G582" s="261">
        <f t="shared" ref="G582:G618" si="246">+C582+D582-E582+F582</f>
        <v>49500000</v>
      </c>
      <c r="H582" s="261">
        <v>0</v>
      </c>
      <c r="I582" s="261">
        <v>46500000</v>
      </c>
      <c r="J582" s="261">
        <f t="shared" si="239"/>
        <v>3000000</v>
      </c>
      <c r="K582" s="261">
        <v>0</v>
      </c>
      <c r="L582" s="261">
        <v>0</v>
      </c>
      <c r="M582" s="261">
        <f t="shared" si="234"/>
        <v>46500000</v>
      </c>
      <c r="N582" s="261">
        <v>0</v>
      </c>
      <c r="O582" s="261">
        <v>46500000</v>
      </c>
      <c r="P582" s="261">
        <f t="shared" si="231"/>
        <v>0</v>
      </c>
      <c r="Q582" s="177">
        <f t="shared" si="240"/>
        <v>3000000</v>
      </c>
      <c r="R582" s="261">
        <f t="shared" si="232"/>
        <v>0</v>
      </c>
      <c r="T582" s="185">
        <v>306101</v>
      </c>
      <c r="U582" s="259" t="s">
        <v>698</v>
      </c>
      <c r="V582" s="261">
        <v>49500000</v>
      </c>
      <c r="W582" s="261">
        <v>0</v>
      </c>
      <c r="X582" s="261">
        <v>0</v>
      </c>
      <c r="Y582" s="261">
        <v>0</v>
      </c>
      <c r="Z582" s="261">
        <v>49500000</v>
      </c>
      <c r="AA582" s="261">
        <v>0</v>
      </c>
      <c r="AB582" s="261">
        <v>46500000</v>
      </c>
      <c r="AC582" s="261">
        <v>3000000</v>
      </c>
      <c r="AD582" s="261">
        <v>0</v>
      </c>
      <c r="AE582" s="261">
        <v>0</v>
      </c>
      <c r="AF582" s="261">
        <v>46500000</v>
      </c>
      <c r="AG582" s="261">
        <v>0</v>
      </c>
      <c r="AH582" s="261">
        <v>46500000</v>
      </c>
      <c r="AI582" s="261">
        <v>0</v>
      </c>
      <c r="AJ582" s="261">
        <v>3000000</v>
      </c>
      <c r="AK582" s="261">
        <v>0</v>
      </c>
      <c r="AL582" s="261">
        <v>0</v>
      </c>
      <c r="AM582" s="261">
        <v>46500000</v>
      </c>
      <c r="AN582" s="261">
        <v>46500000</v>
      </c>
      <c r="AO582" s="261">
        <v>0</v>
      </c>
      <c r="AP582" s="261">
        <v>3000000</v>
      </c>
      <c r="AQ582" s="261"/>
      <c r="AS582" s="261"/>
    </row>
    <row r="583" spans="1:45" x14ac:dyDescent="0.25">
      <c r="A583" s="185">
        <v>306102</v>
      </c>
      <c r="B583" s="259" t="s">
        <v>699</v>
      </c>
      <c r="C583" s="261">
        <v>149500000</v>
      </c>
      <c r="D583" s="261">
        <v>0</v>
      </c>
      <c r="E583" s="261">
        <v>0</v>
      </c>
      <c r="F583" s="261">
        <v>0</v>
      </c>
      <c r="G583" s="261">
        <f t="shared" si="246"/>
        <v>149500000</v>
      </c>
      <c r="H583" s="261">
        <v>0</v>
      </c>
      <c r="I583" s="261">
        <v>149500000</v>
      </c>
      <c r="J583" s="261">
        <f t="shared" si="239"/>
        <v>0</v>
      </c>
      <c r="K583" s="261">
        <v>18200000</v>
      </c>
      <c r="L583" s="261">
        <v>67200000</v>
      </c>
      <c r="M583" s="261">
        <f t="shared" si="234"/>
        <v>82300000</v>
      </c>
      <c r="N583" s="261">
        <v>0</v>
      </c>
      <c r="O583" s="261">
        <v>149500000</v>
      </c>
      <c r="P583" s="261">
        <f t="shared" si="231"/>
        <v>0</v>
      </c>
      <c r="Q583" s="177">
        <f t="shared" si="240"/>
        <v>0</v>
      </c>
      <c r="R583" s="261">
        <f t="shared" si="232"/>
        <v>67200000</v>
      </c>
      <c r="T583" s="185">
        <v>306102</v>
      </c>
      <c r="U583" s="259" t="s">
        <v>699</v>
      </c>
      <c r="V583" s="261">
        <v>149500000</v>
      </c>
      <c r="W583" s="261">
        <v>0</v>
      </c>
      <c r="X583" s="261">
        <v>0</v>
      </c>
      <c r="Y583" s="261">
        <v>0</v>
      </c>
      <c r="Z583" s="261">
        <v>149500000</v>
      </c>
      <c r="AA583" s="261">
        <v>0</v>
      </c>
      <c r="AB583" s="261">
        <v>149500000</v>
      </c>
      <c r="AC583" s="261">
        <v>0</v>
      </c>
      <c r="AD583" s="261">
        <v>18200000</v>
      </c>
      <c r="AE583" s="261">
        <v>67200000</v>
      </c>
      <c r="AF583" s="261">
        <v>82300000</v>
      </c>
      <c r="AG583" s="261">
        <v>0</v>
      </c>
      <c r="AH583" s="261">
        <v>149500000</v>
      </c>
      <c r="AI583" s="261">
        <v>0</v>
      </c>
      <c r="AJ583" s="261">
        <v>0</v>
      </c>
      <c r="AK583" s="261">
        <v>0</v>
      </c>
      <c r="AL583" s="261">
        <v>0</v>
      </c>
      <c r="AM583" s="261">
        <v>149500000</v>
      </c>
      <c r="AN583" s="261">
        <v>149500000</v>
      </c>
      <c r="AO583" s="261">
        <v>0</v>
      </c>
      <c r="AP583" s="261">
        <v>0</v>
      </c>
      <c r="AQ583" s="261"/>
      <c r="AS583" s="261"/>
    </row>
    <row r="584" spans="1:45" x14ac:dyDescent="0.25">
      <c r="A584" s="185">
        <v>306103</v>
      </c>
      <c r="B584" s="259" t="s">
        <v>700</v>
      </c>
      <c r="C584" s="261">
        <v>0</v>
      </c>
      <c r="D584" s="261">
        <v>0</v>
      </c>
      <c r="E584" s="261">
        <v>0</v>
      </c>
      <c r="F584" s="261">
        <v>998783</v>
      </c>
      <c r="G584" s="261">
        <f t="shared" si="246"/>
        <v>998783</v>
      </c>
      <c r="H584" s="261">
        <v>0</v>
      </c>
      <c r="I584" s="261">
        <v>0</v>
      </c>
      <c r="J584" s="261">
        <f t="shared" si="239"/>
        <v>998783</v>
      </c>
      <c r="K584" s="261">
        <v>0</v>
      </c>
      <c r="L584" s="261">
        <v>0</v>
      </c>
      <c r="M584" s="261">
        <f t="shared" si="234"/>
        <v>0</v>
      </c>
      <c r="N584" s="261">
        <v>0</v>
      </c>
      <c r="O584" s="261">
        <v>0</v>
      </c>
      <c r="P584" s="261">
        <f t="shared" si="231"/>
        <v>0</v>
      </c>
      <c r="Q584" s="177">
        <f t="shared" si="240"/>
        <v>998783</v>
      </c>
      <c r="R584" s="261">
        <f t="shared" si="232"/>
        <v>0</v>
      </c>
      <c r="T584" s="185">
        <v>306103</v>
      </c>
      <c r="U584" s="259" t="s">
        <v>700</v>
      </c>
      <c r="V584" s="261">
        <v>0</v>
      </c>
      <c r="W584" s="261">
        <v>0</v>
      </c>
      <c r="X584" s="261">
        <v>0</v>
      </c>
      <c r="Y584" s="261">
        <v>998783</v>
      </c>
      <c r="Z584" s="261">
        <v>998783</v>
      </c>
      <c r="AA584" s="261">
        <v>0</v>
      </c>
      <c r="AB584" s="261">
        <v>0</v>
      </c>
      <c r="AC584" s="261">
        <v>998783</v>
      </c>
      <c r="AD584" s="261">
        <v>0</v>
      </c>
      <c r="AE584" s="261">
        <v>0</v>
      </c>
      <c r="AF584" s="261">
        <v>0</v>
      </c>
      <c r="AG584" s="261">
        <v>0</v>
      </c>
      <c r="AH584" s="261">
        <v>0</v>
      </c>
      <c r="AI584" s="261">
        <v>0</v>
      </c>
      <c r="AJ584" s="261">
        <v>998783</v>
      </c>
      <c r="AK584" s="261">
        <v>0</v>
      </c>
      <c r="AL584" s="261">
        <v>0</v>
      </c>
      <c r="AM584" s="261">
        <v>0</v>
      </c>
      <c r="AN584" s="261">
        <v>0</v>
      </c>
      <c r="AO584" s="261">
        <v>0</v>
      </c>
      <c r="AP584" s="261">
        <v>998783</v>
      </c>
      <c r="AQ584" s="261"/>
      <c r="AS584" s="261"/>
    </row>
    <row r="585" spans="1:45" x14ac:dyDescent="0.25">
      <c r="A585" s="185">
        <v>306104</v>
      </c>
      <c r="B585" s="259" t="s">
        <v>701</v>
      </c>
      <c r="C585" s="261">
        <v>0</v>
      </c>
      <c r="D585" s="261">
        <v>0</v>
      </c>
      <c r="E585" s="261">
        <v>0</v>
      </c>
      <c r="F585" s="261">
        <v>413726382</v>
      </c>
      <c r="G585" s="261">
        <f t="shared" si="246"/>
        <v>413726382</v>
      </c>
      <c r="H585" s="261">
        <v>49000000</v>
      </c>
      <c r="I585" s="261">
        <v>369980289.44999999</v>
      </c>
      <c r="J585" s="261">
        <f t="shared" ref="J585:J618" si="247">+G585-I585</f>
        <v>43746092.550000012</v>
      </c>
      <c r="K585" s="261">
        <v>87784396</v>
      </c>
      <c r="L585" s="261">
        <v>246375300</v>
      </c>
      <c r="M585" s="261">
        <f t="shared" si="234"/>
        <v>123604989.44999999</v>
      </c>
      <c r="N585" s="261">
        <v>34500000</v>
      </c>
      <c r="O585" s="261">
        <v>384500000</v>
      </c>
      <c r="P585" s="261">
        <f t="shared" si="231"/>
        <v>14519710.550000012</v>
      </c>
      <c r="Q585" s="177">
        <f t="shared" ref="Q585:Q618" si="248">+G585-O585</f>
        <v>29226382</v>
      </c>
      <c r="R585" s="261">
        <f t="shared" si="232"/>
        <v>246375300</v>
      </c>
      <c r="T585" s="185">
        <v>306104</v>
      </c>
      <c r="U585" s="259" t="s">
        <v>701</v>
      </c>
      <c r="V585" s="261">
        <v>0</v>
      </c>
      <c r="W585" s="261">
        <v>0</v>
      </c>
      <c r="X585" s="261">
        <v>0</v>
      </c>
      <c r="Y585" s="261">
        <v>413726382</v>
      </c>
      <c r="Z585" s="261">
        <v>413726382</v>
      </c>
      <c r="AA585" s="261">
        <v>49000000</v>
      </c>
      <c r="AB585" s="261">
        <v>369980289.44999999</v>
      </c>
      <c r="AC585" s="261">
        <v>43746092.550000012</v>
      </c>
      <c r="AD585" s="261">
        <v>87784396</v>
      </c>
      <c r="AE585" s="261">
        <v>246375300</v>
      </c>
      <c r="AF585" s="261">
        <v>123604989.44999999</v>
      </c>
      <c r="AG585" s="261">
        <v>34500000</v>
      </c>
      <c r="AH585" s="261">
        <v>384500000</v>
      </c>
      <c r="AI585" s="261">
        <v>14519710.550000012</v>
      </c>
      <c r="AJ585" s="261">
        <v>29226382</v>
      </c>
      <c r="AK585" s="261">
        <v>0</v>
      </c>
      <c r="AL585" s="261">
        <v>0</v>
      </c>
      <c r="AM585" s="261">
        <v>350000000</v>
      </c>
      <c r="AN585" s="261">
        <v>350000000</v>
      </c>
      <c r="AO585" s="261">
        <v>4019710.5500000119</v>
      </c>
      <c r="AP585" s="261">
        <v>63726382</v>
      </c>
      <c r="AQ585" s="261"/>
      <c r="AS585" s="261"/>
    </row>
    <row r="586" spans="1:45" x14ac:dyDescent="0.25">
      <c r="A586" s="185">
        <v>306106</v>
      </c>
      <c r="B586" s="259" t="s">
        <v>702</v>
      </c>
      <c r="C586" s="261">
        <v>0</v>
      </c>
      <c r="D586" s="261">
        <v>0</v>
      </c>
      <c r="E586" s="261">
        <v>0</v>
      </c>
      <c r="F586" s="261">
        <v>56120677</v>
      </c>
      <c r="G586" s="261">
        <f t="shared" si="246"/>
        <v>56120677</v>
      </c>
      <c r="H586" s="261">
        <v>0</v>
      </c>
      <c r="I586" s="261">
        <v>0</v>
      </c>
      <c r="J586" s="261">
        <f t="shared" si="247"/>
        <v>56120677</v>
      </c>
      <c r="K586" s="261">
        <v>0</v>
      </c>
      <c r="L586" s="261">
        <v>0</v>
      </c>
      <c r="M586" s="261">
        <f t="shared" si="234"/>
        <v>0</v>
      </c>
      <c r="N586" s="261">
        <v>0</v>
      </c>
      <c r="O586" s="261">
        <v>0</v>
      </c>
      <c r="P586" s="261">
        <f t="shared" si="231"/>
        <v>0</v>
      </c>
      <c r="Q586" s="177">
        <f t="shared" si="248"/>
        <v>56120677</v>
      </c>
      <c r="R586" s="261">
        <f t="shared" si="232"/>
        <v>0</v>
      </c>
      <c r="T586" s="185">
        <v>306106</v>
      </c>
      <c r="U586" s="259" t="s">
        <v>702</v>
      </c>
      <c r="V586" s="261">
        <v>0</v>
      </c>
      <c r="W586" s="261">
        <v>0</v>
      </c>
      <c r="X586" s="261">
        <v>0</v>
      </c>
      <c r="Y586" s="261">
        <v>56120677</v>
      </c>
      <c r="Z586" s="261">
        <v>56120677</v>
      </c>
      <c r="AA586" s="261">
        <v>0</v>
      </c>
      <c r="AB586" s="261">
        <v>0</v>
      </c>
      <c r="AC586" s="261">
        <v>56120677</v>
      </c>
      <c r="AD586" s="261">
        <v>0</v>
      </c>
      <c r="AE586" s="261">
        <v>0</v>
      </c>
      <c r="AF586" s="261">
        <v>0</v>
      </c>
      <c r="AG586" s="261">
        <v>0</v>
      </c>
      <c r="AH586" s="261">
        <v>0</v>
      </c>
      <c r="AI586" s="261">
        <v>0</v>
      </c>
      <c r="AJ586" s="261">
        <v>56120677</v>
      </c>
      <c r="AK586" s="261">
        <v>0</v>
      </c>
      <c r="AL586" s="261">
        <v>0</v>
      </c>
      <c r="AM586" s="261">
        <v>0</v>
      </c>
      <c r="AN586" s="261">
        <v>0</v>
      </c>
      <c r="AO586" s="261">
        <v>0</v>
      </c>
      <c r="AP586" s="261">
        <v>56120677</v>
      </c>
      <c r="AQ586" s="261"/>
      <c r="AS586" s="261"/>
    </row>
    <row r="587" spans="1:45" x14ac:dyDescent="0.25">
      <c r="A587" s="185">
        <v>306107</v>
      </c>
      <c r="B587" s="259" t="s">
        <v>703</v>
      </c>
      <c r="C587" s="261">
        <v>0</v>
      </c>
      <c r="D587" s="261">
        <v>0</v>
      </c>
      <c r="E587" s="261">
        <v>0</v>
      </c>
      <c r="F587" s="261">
        <v>40682711</v>
      </c>
      <c r="G587" s="261">
        <f t="shared" si="246"/>
        <v>40682711</v>
      </c>
      <c r="H587" s="261">
        <v>0</v>
      </c>
      <c r="I587" s="261">
        <v>0</v>
      </c>
      <c r="J587" s="261">
        <f t="shared" si="247"/>
        <v>40682711</v>
      </c>
      <c r="K587" s="261">
        <v>0</v>
      </c>
      <c r="L587" s="261">
        <v>0</v>
      </c>
      <c r="M587" s="261">
        <f t="shared" si="234"/>
        <v>0</v>
      </c>
      <c r="N587" s="261">
        <v>0</v>
      </c>
      <c r="O587" s="261">
        <v>0</v>
      </c>
      <c r="P587" s="261">
        <f t="shared" si="231"/>
        <v>0</v>
      </c>
      <c r="Q587" s="177">
        <f t="shared" si="248"/>
        <v>40682711</v>
      </c>
      <c r="R587" s="261">
        <f t="shared" si="232"/>
        <v>0</v>
      </c>
      <c r="T587" s="185">
        <v>306107</v>
      </c>
      <c r="U587" s="259" t="s">
        <v>703</v>
      </c>
      <c r="V587" s="261">
        <v>0</v>
      </c>
      <c r="W587" s="261">
        <v>0</v>
      </c>
      <c r="X587" s="261">
        <v>0</v>
      </c>
      <c r="Y587" s="261">
        <v>40682711</v>
      </c>
      <c r="Z587" s="261">
        <v>40682711</v>
      </c>
      <c r="AA587" s="261">
        <v>0</v>
      </c>
      <c r="AB587" s="261">
        <v>0</v>
      </c>
      <c r="AC587" s="261">
        <v>40682711</v>
      </c>
      <c r="AD587" s="261">
        <v>0</v>
      </c>
      <c r="AE587" s="261">
        <v>0</v>
      </c>
      <c r="AF587" s="261">
        <v>0</v>
      </c>
      <c r="AG587" s="261">
        <v>0</v>
      </c>
      <c r="AH587" s="261">
        <v>0</v>
      </c>
      <c r="AI587" s="261">
        <v>0</v>
      </c>
      <c r="AJ587" s="261">
        <v>40682711</v>
      </c>
      <c r="AK587" s="261">
        <v>0</v>
      </c>
      <c r="AL587" s="261">
        <v>0</v>
      </c>
      <c r="AM587" s="261">
        <v>0</v>
      </c>
      <c r="AN587" s="261">
        <v>0</v>
      </c>
      <c r="AO587" s="261">
        <v>0</v>
      </c>
      <c r="AP587" s="261">
        <v>40682711</v>
      </c>
      <c r="AQ587" s="261"/>
      <c r="AS587" s="261"/>
    </row>
    <row r="588" spans="1:45" x14ac:dyDescent="0.25">
      <c r="A588" s="185">
        <v>306110</v>
      </c>
      <c r="B588" s="259" t="s">
        <v>704</v>
      </c>
      <c r="C588" s="261">
        <v>0</v>
      </c>
      <c r="D588" s="261">
        <v>0</v>
      </c>
      <c r="E588" s="261">
        <v>0</v>
      </c>
      <c r="F588" s="261">
        <v>171470875</v>
      </c>
      <c r="G588" s="261">
        <f t="shared" si="246"/>
        <v>171470875</v>
      </c>
      <c r="H588" s="261">
        <v>34449050</v>
      </c>
      <c r="I588" s="261">
        <v>38998850</v>
      </c>
      <c r="J588" s="261">
        <f t="shared" si="247"/>
        <v>132472025</v>
      </c>
      <c r="K588" s="261">
        <v>0</v>
      </c>
      <c r="L588" s="261">
        <v>740000</v>
      </c>
      <c r="M588" s="261">
        <f t="shared" si="234"/>
        <v>38258850</v>
      </c>
      <c r="N588" s="261">
        <v>2800000</v>
      </c>
      <c r="O588" s="261">
        <v>38998850</v>
      </c>
      <c r="P588" s="261">
        <f t="shared" si="231"/>
        <v>0</v>
      </c>
      <c r="Q588" s="177">
        <f t="shared" si="248"/>
        <v>132472025</v>
      </c>
      <c r="R588" s="261">
        <f t="shared" si="232"/>
        <v>740000</v>
      </c>
      <c r="T588" s="185">
        <v>306110</v>
      </c>
      <c r="U588" s="259" t="s">
        <v>704</v>
      </c>
      <c r="V588" s="261">
        <v>0</v>
      </c>
      <c r="W588" s="261">
        <v>0</v>
      </c>
      <c r="X588" s="261">
        <v>0</v>
      </c>
      <c r="Y588" s="261">
        <v>171470875</v>
      </c>
      <c r="Z588" s="261">
        <v>171470875</v>
      </c>
      <c r="AA588" s="261">
        <v>34449050</v>
      </c>
      <c r="AB588" s="261">
        <v>38998850</v>
      </c>
      <c r="AC588" s="261">
        <v>132472025</v>
      </c>
      <c r="AD588" s="261">
        <v>0</v>
      </c>
      <c r="AE588" s="261">
        <v>740000</v>
      </c>
      <c r="AF588" s="261">
        <v>38518850</v>
      </c>
      <c r="AG588" s="261">
        <v>2800000</v>
      </c>
      <c r="AH588" s="261">
        <v>38998850</v>
      </c>
      <c r="AI588" s="261">
        <v>0</v>
      </c>
      <c r="AJ588" s="261">
        <v>132472025</v>
      </c>
      <c r="AK588" s="261">
        <v>260000</v>
      </c>
      <c r="AL588" s="261">
        <v>0</v>
      </c>
      <c r="AM588" s="261">
        <v>36458850</v>
      </c>
      <c r="AN588" s="261">
        <v>36198850</v>
      </c>
      <c r="AO588" s="261">
        <v>31649050</v>
      </c>
      <c r="AP588" s="261">
        <v>135272025</v>
      </c>
      <c r="AQ588" s="261"/>
      <c r="AS588" s="261"/>
    </row>
    <row r="589" spans="1:45" x14ac:dyDescent="0.25">
      <c r="A589" s="185">
        <v>306111</v>
      </c>
      <c r="B589" s="259" t="s">
        <v>705</v>
      </c>
      <c r="C589" s="261">
        <v>0</v>
      </c>
      <c r="D589" s="261">
        <v>0</v>
      </c>
      <c r="E589" s="261">
        <v>0</v>
      </c>
      <c r="F589" s="261">
        <v>7197612</v>
      </c>
      <c r="G589" s="261">
        <f t="shared" si="246"/>
        <v>7197612</v>
      </c>
      <c r="H589" s="261">
        <v>0</v>
      </c>
      <c r="I589" s="261">
        <v>0</v>
      </c>
      <c r="J589" s="261">
        <f t="shared" si="247"/>
        <v>7197612</v>
      </c>
      <c r="K589" s="261">
        <v>0</v>
      </c>
      <c r="L589" s="261">
        <v>0</v>
      </c>
      <c r="M589" s="261">
        <f t="shared" si="234"/>
        <v>0</v>
      </c>
      <c r="N589" s="261">
        <v>0</v>
      </c>
      <c r="O589" s="261">
        <v>0</v>
      </c>
      <c r="P589" s="261">
        <f t="shared" si="231"/>
        <v>0</v>
      </c>
      <c r="Q589" s="177">
        <f t="shared" si="248"/>
        <v>7197612</v>
      </c>
      <c r="R589" s="261">
        <f t="shared" si="232"/>
        <v>0</v>
      </c>
      <c r="T589" s="185">
        <v>306111</v>
      </c>
      <c r="U589" s="259" t="s">
        <v>705</v>
      </c>
      <c r="V589" s="261">
        <v>0</v>
      </c>
      <c r="W589" s="261">
        <v>0</v>
      </c>
      <c r="X589" s="261">
        <v>0</v>
      </c>
      <c r="Y589" s="261">
        <v>7197612</v>
      </c>
      <c r="Z589" s="261">
        <v>7197612</v>
      </c>
      <c r="AA589" s="261">
        <v>0</v>
      </c>
      <c r="AB589" s="261">
        <v>0</v>
      </c>
      <c r="AC589" s="261">
        <v>7197612</v>
      </c>
      <c r="AD589" s="261">
        <v>0</v>
      </c>
      <c r="AE589" s="261">
        <v>0</v>
      </c>
      <c r="AF589" s="261">
        <v>0</v>
      </c>
      <c r="AG589" s="261">
        <v>0</v>
      </c>
      <c r="AH589" s="261">
        <v>0</v>
      </c>
      <c r="AI589" s="261">
        <v>0</v>
      </c>
      <c r="AJ589" s="261">
        <v>7197612</v>
      </c>
      <c r="AK589" s="261">
        <v>0</v>
      </c>
      <c r="AL589" s="261">
        <v>0</v>
      </c>
      <c r="AM589" s="261">
        <v>0</v>
      </c>
      <c r="AN589" s="261">
        <v>0</v>
      </c>
      <c r="AO589" s="261">
        <v>0</v>
      </c>
      <c r="AP589" s="261">
        <v>7197612</v>
      </c>
      <c r="AQ589" s="261"/>
      <c r="AS589" s="261"/>
    </row>
    <row r="590" spans="1:45" x14ac:dyDescent="0.25">
      <c r="A590" s="185">
        <v>306112</v>
      </c>
      <c r="B590" s="259" t="s">
        <v>706</v>
      </c>
      <c r="C590" s="261">
        <v>0</v>
      </c>
      <c r="D590" s="261">
        <v>0</v>
      </c>
      <c r="E590" s="261">
        <v>0</v>
      </c>
      <c r="F590" s="261">
        <v>4143084</v>
      </c>
      <c r="G590" s="261">
        <f t="shared" si="246"/>
        <v>4143084</v>
      </c>
      <c r="H590" s="261">
        <v>0</v>
      </c>
      <c r="I590" s="261">
        <v>0</v>
      </c>
      <c r="J590" s="261">
        <f t="shared" si="247"/>
        <v>4143084</v>
      </c>
      <c r="K590" s="261">
        <v>0</v>
      </c>
      <c r="L590" s="261">
        <v>0</v>
      </c>
      <c r="M590" s="261">
        <f t="shared" si="234"/>
        <v>0</v>
      </c>
      <c r="N590" s="261">
        <v>0</v>
      </c>
      <c r="O590" s="261">
        <v>0</v>
      </c>
      <c r="P590" s="261">
        <f t="shared" si="231"/>
        <v>0</v>
      </c>
      <c r="Q590" s="177">
        <f t="shared" si="248"/>
        <v>4143084</v>
      </c>
      <c r="R590" s="261">
        <f t="shared" si="232"/>
        <v>0</v>
      </c>
      <c r="T590" s="185">
        <v>306112</v>
      </c>
      <c r="U590" s="259" t="s">
        <v>706</v>
      </c>
      <c r="V590" s="261">
        <v>0</v>
      </c>
      <c r="W590" s="261">
        <v>0</v>
      </c>
      <c r="X590" s="261">
        <v>0</v>
      </c>
      <c r="Y590" s="261">
        <v>4143084</v>
      </c>
      <c r="Z590" s="261">
        <v>4143084</v>
      </c>
      <c r="AA590" s="261">
        <v>0</v>
      </c>
      <c r="AB590" s="261">
        <v>0</v>
      </c>
      <c r="AC590" s="261">
        <v>4143084</v>
      </c>
      <c r="AD590" s="261">
        <v>0</v>
      </c>
      <c r="AE590" s="261">
        <v>0</v>
      </c>
      <c r="AF590" s="261">
        <v>0</v>
      </c>
      <c r="AG590" s="261">
        <v>0</v>
      </c>
      <c r="AH590" s="261">
        <v>0</v>
      </c>
      <c r="AI590" s="261">
        <v>0</v>
      </c>
      <c r="AJ590" s="261">
        <v>4143084</v>
      </c>
      <c r="AK590" s="261">
        <v>0</v>
      </c>
      <c r="AL590" s="261">
        <v>0</v>
      </c>
      <c r="AM590" s="261">
        <v>0</v>
      </c>
      <c r="AN590" s="261">
        <v>0</v>
      </c>
      <c r="AO590" s="261">
        <v>0</v>
      </c>
      <c r="AP590" s="261">
        <v>4143084</v>
      </c>
      <c r="AQ590" s="261"/>
      <c r="AS590" s="261"/>
    </row>
    <row r="591" spans="1:45" x14ac:dyDescent="0.25">
      <c r="A591" s="185">
        <v>306116</v>
      </c>
      <c r="B591" s="259" t="s">
        <v>707</v>
      </c>
      <c r="C591" s="261">
        <v>0</v>
      </c>
      <c r="D591" s="261">
        <v>0</v>
      </c>
      <c r="E591" s="261">
        <v>0</v>
      </c>
      <c r="F591" s="261">
        <v>236000000</v>
      </c>
      <c r="G591" s="261">
        <f t="shared" si="246"/>
        <v>236000000</v>
      </c>
      <c r="H591" s="261">
        <v>4850000</v>
      </c>
      <c r="I591" s="261">
        <v>37175866</v>
      </c>
      <c r="J591" s="261">
        <f t="shared" si="247"/>
        <v>198824134</v>
      </c>
      <c r="K591" s="261">
        <v>7350000</v>
      </c>
      <c r="L591" s="261">
        <v>8220000</v>
      </c>
      <c r="M591" s="261">
        <f t="shared" si="234"/>
        <v>28955866</v>
      </c>
      <c r="N591" s="261">
        <v>46012502</v>
      </c>
      <c r="O591" s="261">
        <v>97988368</v>
      </c>
      <c r="P591" s="261">
        <f t="shared" si="231"/>
        <v>60812502</v>
      </c>
      <c r="Q591" s="177">
        <f t="shared" si="248"/>
        <v>138011632</v>
      </c>
      <c r="R591" s="261">
        <f t="shared" si="232"/>
        <v>8220000</v>
      </c>
      <c r="T591" s="185">
        <v>306116</v>
      </c>
      <c r="U591" s="259" t="s">
        <v>707</v>
      </c>
      <c r="V591" s="261">
        <v>0</v>
      </c>
      <c r="W591" s="261">
        <v>0</v>
      </c>
      <c r="X591" s="261">
        <v>0</v>
      </c>
      <c r="Y591" s="261">
        <v>236000000</v>
      </c>
      <c r="Z591" s="261">
        <v>236000000</v>
      </c>
      <c r="AA591" s="261">
        <v>4850000</v>
      </c>
      <c r="AB591" s="261">
        <v>37175866</v>
      </c>
      <c r="AC591" s="261">
        <v>198824134</v>
      </c>
      <c r="AD591" s="261">
        <v>7350000</v>
      </c>
      <c r="AE591" s="261">
        <v>8220000</v>
      </c>
      <c r="AF591" s="261">
        <v>28955866</v>
      </c>
      <c r="AG591" s="261">
        <v>46012502</v>
      </c>
      <c r="AH591" s="261">
        <v>97988368</v>
      </c>
      <c r="AI591" s="261">
        <v>60812502</v>
      </c>
      <c r="AJ591" s="261">
        <v>138011632</v>
      </c>
      <c r="AK591" s="261">
        <v>0</v>
      </c>
      <c r="AL591" s="261">
        <v>46012502</v>
      </c>
      <c r="AM591" s="261">
        <v>97988368</v>
      </c>
      <c r="AN591" s="261">
        <v>97988368</v>
      </c>
      <c r="AO591" s="261">
        <v>60812502</v>
      </c>
      <c r="AP591" s="261">
        <v>138011632</v>
      </c>
      <c r="AQ591" s="261"/>
      <c r="AS591" s="261"/>
    </row>
    <row r="592" spans="1:45" x14ac:dyDescent="0.25">
      <c r="A592" s="185">
        <v>306117</v>
      </c>
      <c r="B592" s="259" t="s">
        <v>708</v>
      </c>
      <c r="C592" s="261">
        <v>0</v>
      </c>
      <c r="D592" s="261">
        <v>0</v>
      </c>
      <c r="E592" s="261">
        <v>0</v>
      </c>
      <c r="F592" s="261">
        <v>142290</v>
      </c>
      <c r="G592" s="261">
        <f t="shared" si="246"/>
        <v>142290</v>
      </c>
      <c r="H592" s="261">
        <v>0</v>
      </c>
      <c r="I592" s="261">
        <v>0</v>
      </c>
      <c r="J592" s="261">
        <f t="shared" si="247"/>
        <v>142290</v>
      </c>
      <c r="K592" s="261">
        <v>0</v>
      </c>
      <c r="L592" s="261">
        <v>0</v>
      </c>
      <c r="M592" s="261">
        <f t="shared" si="234"/>
        <v>0</v>
      </c>
      <c r="N592" s="261">
        <v>0</v>
      </c>
      <c r="O592" s="261">
        <v>0</v>
      </c>
      <c r="P592" s="261">
        <f t="shared" si="231"/>
        <v>0</v>
      </c>
      <c r="Q592" s="177">
        <f t="shared" si="248"/>
        <v>142290</v>
      </c>
      <c r="R592" s="261">
        <f t="shared" si="232"/>
        <v>0</v>
      </c>
      <c r="T592" s="185">
        <v>306117</v>
      </c>
      <c r="U592" s="259" t="s">
        <v>708</v>
      </c>
      <c r="V592" s="261">
        <v>0</v>
      </c>
      <c r="W592" s="261">
        <v>0</v>
      </c>
      <c r="X592" s="261">
        <v>0</v>
      </c>
      <c r="Y592" s="261">
        <v>142290</v>
      </c>
      <c r="Z592" s="261">
        <v>142290</v>
      </c>
      <c r="AA592" s="261">
        <v>0</v>
      </c>
      <c r="AB592" s="261">
        <v>0</v>
      </c>
      <c r="AC592" s="261">
        <v>142290</v>
      </c>
      <c r="AD592" s="261">
        <v>0</v>
      </c>
      <c r="AE592" s="261">
        <v>0</v>
      </c>
      <c r="AF592" s="261">
        <v>0</v>
      </c>
      <c r="AG592" s="261">
        <v>0</v>
      </c>
      <c r="AH592" s="261">
        <v>0</v>
      </c>
      <c r="AI592" s="261">
        <v>0</v>
      </c>
      <c r="AJ592" s="261">
        <v>142290</v>
      </c>
      <c r="AK592" s="261">
        <v>0</v>
      </c>
      <c r="AL592" s="261">
        <v>0</v>
      </c>
      <c r="AM592" s="261">
        <v>0</v>
      </c>
      <c r="AN592" s="261">
        <v>0</v>
      </c>
      <c r="AO592" s="261">
        <v>0</v>
      </c>
      <c r="AP592" s="261">
        <v>142290</v>
      </c>
      <c r="AQ592" s="261"/>
      <c r="AS592" s="261"/>
    </row>
    <row r="593" spans="1:45" x14ac:dyDescent="0.25">
      <c r="A593" s="185">
        <v>306119</v>
      </c>
      <c r="B593" s="259" t="s">
        <v>709</v>
      </c>
      <c r="C593" s="261">
        <v>0</v>
      </c>
      <c r="D593" s="261">
        <v>0</v>
      </c>
      <c r="E593" s="261">
        <v>0</v>
      </c>
      <c r="F593" s="261">
        <v>53307105</v>
      </c>
      <c r="G593" s="261">
        <f t="shared" si="246"/>
        <v>53307105</v>
      </c>
      <c r="H593" s="261">
        <v>0</v>
      </c>
      <c r="I593" s="261">
        <v>0</v>
      </c>
      <c r="J593" s="261">
        <f t="shared" si="247"/>
        <v>53307105</v>
      </c>
      <c r="K593" s="261">
        <v>0</v>
      </c>
      <c r="L593" s="261">
        <v>0</v>
      </c>
      <c r="M593" s="261">
        <f t="shared" si="234"/>
        <v>0</v>
      </c>
      <c r="N593" s="261">
        <v>0</v>
      </c>
      <c r="O593" s="261">
        <v>0</v>
      </c>
      <c r="P593" s="261">
        <f t="shared" si="231"/>
        <v>0</v>
      </c>
      <c r="Q593" s="177">
        <f t="shared" si="248"/>
        <v>53307105</v>
      </c>
      <c r="R593" s="261">
        <f t="shared" si="232"/>
        <v>0</v>
      </c>
      <c r="T593" s="185">
        <v>306119</v>
      </c>
      <c r="U593" s="259" t="s">
        <v>709</v>
      </c>
      <c r="V593" s="261">
        <v>0</v>
      </c>
      <c r="W593" s="261">
        <v>0</v>
      </c>
      <c r="X593" s="261">
        <v>0</v>
      </c>
      <c r="Y593" s="261">
        <v>53307105</v>
      </c>
      <c r="Z593" s="261">
        <v>53307105</v>
      </c>
      <c r="AA593" s="261">
        <v>0</v>
      </c>
      <c r="AB593" s="261">
        <v>0</v>
      </c>
      <c r="AC593" s="261">
        <v>53307105</v>
      </c>
      <c r="AD593" s="261">
        <v>0</v>
      </c>
      <c r="AE593" s="261">
        <v>0</v>
      </c>
      <c r="AF593" s="261">
        <v>0</v>
      </c>
      <c r="AG593" s="261">
        <v>0</v>
      </c>
      <c r="AH593" s="261">
        <v>0</v>
      </c>
      <c r="AI593" s="261">
        <v>0</v>
      </c>
      <c r="AJ593" s="261">
        <v>53307105</v>
      </c>
      <c r="AK593" s="261">
        <v>0</v>
      </c>
      <c r="AL593" s="261">
        <v>0</v>
      </c>
      <c r="AM593" s="261">
        <v>0</v>
      </c>
      <c r="AN593" s="261">
        <v>0</v>
      </c>
      <c r="AO593" s="261">
        <v>0</v>
      </c>
      <c r="AP593" s="261">
        <v>53307105</v>
      </c>
      <c r="AQ593" s="261"/>
      <c r="AS593" s="261"/>
    </row>
    <row r="594" spans="1:45" x14ac:dyDescent="0.25">
      <c r="A594" s="185">
        <v>306120</v>
      </c>
      <c r="B594" s="259" t="s">
        <v>710</v>
      </c>
      <c r="C594" s="261">
        <v>0</v>
      </c>
      <c r="D594" s="261">
        <v>0</v>
      </c>
      <c r="E594" s="261">
        <v>0</v>
      </c>
      <c r="F594" s="261">
        <v>481271168</v>
      </c>
      <c r="G594" s="261">
        <f t="shared" si="246"/>
        <v>481271168</v>
      </c>
      <c r="H594" s="261">
        <v>250000</v>
      </c>
      <c r="I594" s="261">
        <v>250000</v>
      </c>
      <c r="J594" s="261">
        <f t="shared" si="247"/>
        <v>481021168</v>
      </c>
      <c r="K594" s="261">
        <v>240068</v>
      </c>
      <c r="L594" s="261">
        <v>240068</v>
      </c>
      <c r="M594" s="261">
        <f t="shared" si="234"/>
        <v>9932</v>
      </c>
      <c r="N594" s="261">
        <v>250000</v>
      </c>
      <c r="O594" s="261">
        <v>500000</v>
      </c>
      <c r="P594" s="261">
        <f t="shared" si="231"/>
        <v>250000</v>
      </c>
      <c r="Q594" s="177">
        <f t="shared" si="248"/>
        <v>480771168</v>
      </c>
      <c r="R594" s="261">
        <f t="shared" si="232"/>
        <v>240068</v>
      </c>
      <c r="T594" s="185">
        <v>306120</v>
      </c>
      <c r="U594" s="259" t="s">
        <v>710</v>
      </c>
      <c r="V594" s="261">
        <v>0</v>
      </c>
      <c r="W594" s="261">
        <v>0</v>
      </c>
      <c r="X594" s="261">
        <v>0</v>
      </c>
      <c r="Y594" s="261">
        <v>481271168</v>
      </c>
      <c r="Z594" s="261">
        <v>481271168</v>
      </c>
      <c r="AA594" s="261">
        <v>250000</v>
      </c>
      <c r="AB594" s="261">
        <v>250000</v>
      </c>
      <c r="AC594" s="261">
        <v>481021168</v>
      </c>
      <c r="AD594" s="261">
        <v>240068</v>
      </c>
      <c r="AE594" s="261">
        <v>240068</v>
      </c>
      <c r="AF594" s="261">
        <v>9932</v>
      </c>
      <c r="AG594" s="261">
        <v>250000</v>
      </c>
      <c r="AH594" s="261">
        <v>500000</v>
      </c>
      <c r="AI594" s="261">
        <v>250000</v>
      </c>
      <c r="AJ594" s="261">
        <v>480771168</v>
      </c>
      <c r="AK594" s="261">
        <v>0</v>
      </c>
      <c r="AL594" s="261">
        <v>250000</v>
      </c>
      <c r="AM594" s="261">
        <v>500000</v>
      </c>
      <c r="AN594" s="261">
        <v>500000</v>
      </c>
      <c r="AO594" s="261">
        <v>250000</v>
      </c>
      <c r="AP594" s="261">
        <v>480771168</v>
      </c>
      <c r="AQ594" s="261"/>
      <c r="AS594" s="261"/>
    </row>
    <row r="595" spans="1:45" x14ac:dyDescent="0.25">
      <c r="A595" s="185">
        <v>306121</v>
      </c>
      <c r="B595" s="259" t="s">
        <v>711</v>
      </c>
      <c r="C595" s="261">
        <v>0</v>
      </c>
      <c r="D595" s="261">
        <v>0</v>
      </c>
      <c r="E595" s="261">
        <v>0</v>
      </c>
      <c r="F595" s="261">
        <v>18272283</v>
      </c>
      <c r="G595" s="261">
        <f t="shared" si="246"/>
        <v>18272283</v>
      </c>
      <c r="H595" s="261">
        <v>0</v>
      </c>
      <c r="I595" s="261">
        <v>0</v>
      </c>
      <c r="J595" s="261">
        <f t="shared" si="247"/>
        <v>18272283</v>
      </c>
      <c r="K595" s="261">
        <v>0</v>
      </c>
      <c r="L595" s="261">
        <v>0</v>
      </c>
      <c r="M595" s="261">
        <f t="shared" si="234"/>
        <v>0</v>
      </c>
      <c r="N595" s="261">
        <v>0</v>
      </c>
      <c r="O595" s="261">
        <v>0</v>
      </c>
      <c r="P595" s="261">
        <f t="shared" si="231"/>
        <v>0</v>
      </c>
      <c r="Q595" s="177">
        <f t="shared" si="248"/>
        <v>18272283</v>
      </c>
      <c r="R595" s="261">
        <f t="shared" si="232"/>
        <v>0</v>
      </c>
      <c r="T595" s="185">
        <v>306121</v>
      </c>
      <c r="U595" s="259" t="s">
        <v>711</v>
      </c>
      <c r="V595" s="261">
        <v>0</v>
      </c>
      <c r="W595" s="261">
        <v>0</v>
      </c>
      <c r="X595" s="261">
        <v>0</v>
      </c>
      <c r="Y595" s="261">
        <v>18272283</v>
      </c>
      <c r="Z595" s="261">
        <v>18272283</v>
      </c>
      <c r="AA595" s="261">
        <v>0</v>
      </c>
      <c r="AB595" s="261">
        <v>0</v>
      </c>
      <c r="AC595" s="261">
        <v>18272283</v>
      </c>
      <c r="AD595" s="261">
        <v>0</v>
      </c>
      <c r="AE595" s="261">
        <v>0</v>
      </c>
      <c r="AF595" s="261">
        <v>0</v>
      </c>
      <c r="AG595" s="261">
        <v>0</v>
      </c>
      <c r="AH595" s="261">
        <v>0</v>
      </c>
      <c r="AI595" s="261">
        <v>0</v>
      </c>
      <c r="AJ595" s="261">
        <v>18272283</v>
      </c>
      <c r="AK595" s="261">
        <v>0</v>
      </c>
      <c r="AL595" s="261">
        <v>0</v>
      </c>
      <c r="AM595" s="261">
        <v>0</v>
      </c>
      <c r="AN595" s="261">
        <v>0</v>
      </c>
      <c r="AO595" s="261">
        <v>0</v>
      </c>
      <c r="AP595" s="261">
        <v>18272283</v>
      </c>
      <c r="AQ595" s="261"/>
      <c r="AS595" s="261"/>
    </row>
    <row r="596" spans="1:45" x14ac:dyDescent="0.25">
      <c r="A596" s="185">
        <v>306122</v>
      </c>
      <c r="B596" s="259" t="s">
        <v>712</v>
      </c>
      <c r="C596" s="261">
        <v>0</v>
      </c>
      <c r="D596" s="261">
        <v>0</v>
      </c>
      <c r="E596" s="261">
        <v>0</v>
      </c>
      <c r="F596" s="261">
        <v>15669247</v>
      </c>
      <c r="G596" s="261">
        <f t="shared" si="246"/>
        <v>15669247</v>
      </c>
      <c r="H596" s="261">
        <v>0</v>
      </c>
      <c r="I596" s="261">
        <v>14249290.26</v>
      </c>
      <c r="J596" s="261">
        <f t="shared" si="247"/>
        <v>1419956.7400000002</v>
      </c>
      <c r="K596" s="261">
        <v>12049290.26</v>
      </c>
      <c r="L596" s="261">
        <v>14049290.26</v>
      </c>
      <c r="M596" s="261">
        <f t="shared" si="234"/>
        <v>200000</v>
      </c>
      <c r="N596" s="261">
        <v>0</v>
      </c>
      <c r="O596" s="261">
        <v>15669000</v>
      </c>
      <c r="P596" s="261">
        <f t="shared" si="231"/>
        <v>1419709.7400000002</v>
      </c>
      <c r="Q596" s="177">
        <f t="shared" si="248"/>
        <v>247</v>
      </c>
      <c r="R596" s="261">
        <f t="shared" si="232"/>
        <v>14049290.26</v>
      </c>
      <c r="T596" s="185">
        <v>306122</v>
      </c>
      <c r="U596" s="259" t="s">
        <v>712</v>
      </c>
      <c r="V596" s="261">
        <v>0</v>
      </c>
      <c r="W596" s="261">
        <v>0</v>
      </c>
      <c r="X596" s="261">
        <v>0</v>
      </c>
      <c r="Y596" s="261">
        <v>15669247</v>
      </c>
      <c r="Z596" s="261">
        <v>15669247</v>
      </c>
      <c r="AA596" s="261">
        <v>0</v>
      </c>
      <c r="AB596" s="261">
        <v>14249290.26</v>
      </c>
      <c r="AC596" s="261">
        <v>1419956.7400000002</v>
      </c>
      <c r="AD596" s="261">
        <v>12049290.26</v>
      </c>
      <c r="AE596" s="261">
        <v>14049290.26</v>
      </c>
      <c r="AF596" s="261">
        <v>200000</v>
      </c>
      <c r="AG596" s="261">
        <v>0</v>
      </c>
      <c r="AH596" s="261">
        <v>15669000</v>
      </c>
      <c r="AI596" s="261">
        <v>1419709.7400000002</v>
      </c>
      <c r="AJ596" s="261">
        <v>247</v>
      </c>
      <c r="AK596" s="261">
        <v>0</v>
      </c>
      <c r="AL596" s="261">
        <v>0</v>
      </c>
      <c r="AM596" s="261">
        <v>15669000</v>
      </c>
      <c r="AN596" s="261">
        <v>15669000</v>
      </c>
      <c r="AO596" s="261">
        <v>1419709.7400000002</v>
      </c>
      <c r="AP596" s="261">
        <v>247</v>
      </c>
      <c r="AQ596" s="261"/>
      <c r="AS596" s="261"/>
    </row>
    <row r="597" spans="1:45" x14ac:dyDescent="0.25">
      <c r="A597" s="185">
        <v>306123</v>
      </c>
      <c r="B597" s="259" t="s">
        <v>713</v>
      </c>
      <c r="C597" s="261">
        <v>0</v>
      </c>
      <c r="D597" s="261">
        <v>0</v>
      </c>
      <c r="E597" s="261">
        <v>0</v>
      </c>
      <c r="F597" s="261">
        <v>24423983</v>
      </c>
      <c r="G597" s="261">
        <f t="shared" si="246"/>
        <v>24423983</v>
      </c>
      <c r="H597" s="261">
        <v>0</v>
      </c>
      <c r="I597" s="261">
        <v>0</v>
      </c>
      <c r="J597" s="261">
        <f t="shared" si="247"/>
        <v>24423983</v>
      </c>
      <c r="K597" s="261">
        <v>0</v>
      </c>
      <c r="L597" s="261">
        <v>0</v>
      </c>
      <c r="M597" s="261">
        <f t="shared" si="234"/>
        <v>0</v>
      </c>
      <c r="N597" s="261">
        <v>5178394</v>
      </c>
      <c r="O597" s="261">
        <v>15178394</v>
      </c>
      <c r="P597" s="261">
        <f t="shared" si="231"/>
        <v>15178394</v>
      </c>
      <c r="Q597" s="177">
        <f t="shared" si="248"/>
        <v>9245589</v>
      </c>
      <c r="R597" s="261">
        <f t="shared" si="232"/>
        <v>0</v>
      </c>
      <c r="T597" s="185">
        <v>306123</v>
      </c>
      <c r="U597" s="259" t="s">
        <v>713</v>
      </c>
      <c r="V597" s="261">
        <v>0</v>
      </c>
      <c r="W597" s="261">
        <v>0</v>
      </c>
      <c r="X597" s="261">
        <v>0</v>
      </c>
      <c r="Y597" s="261">
        <v>24423983</v>
      </c>
      <c r="Z597" s="261">
        <v>24423983</v>
      </c>
      <c r="AA597" s="261">
        <v>0</v>
      </c>
      <c r="AB597" s="261">
        <v>0</v>
      </c>
      <c r="AC597" s="261">
        <v>24423983</v>
      </c>
      <c r="AD597" s="261">
        <v>0</v>
      </c>
      <c r="AE597" s="261">
        <v>0</v>
      </c>
      <c r="AF597" s="261">
        <v>0</v>
      </c>
      <c r="AG597" s="261">
        <v>5178394</v>
      </c>
      <c r="AH597" s="261">
        <v>15178394</v>
      </c>
      <c r="AI597" s="261">
        <v>15178394</v>
      </c>
      <c r="AJ597" s="261">
        <v>9245589</v>
      </c>
      <c r="AK597" s="261">
        <v>0</v>
      </c>
      <c r="AL597" s="261">
        <v>5178394</v>
      </c>
      <c r="AM597" s="261">
        <v>15178394</v>
      </c>
      <c r="AN597" s="261">
        <v>15178394</v>
      </c>
      <c r="AO597" s="261">
        <v>15178394</v>
      </c>
      <c r="AP597" s="261">
        <v>9245589</v>
      </c>
      <c r="AQ597" s="261"/>
      <c r="AS597" s="261"/>
    </row>
    <row r="598" spans="1:45" x14ac:dyDescent="0.25">
      <c r="A598" s="185">
        <v>306124</v>
      </c>
      <c r="B598" s="259" t="s">
        <v>714</v>
      </c>
      <c r="C598" s="261">
        <v>0</v>
      </c>
      <c r="D598" s="261">
        <v>0</v>
      </c>
      <c r="E598" s="261">
        <v>0</v>
      </c>
      <c r="F598" s="261">
        <v>448052520</v>
      </c>
      <c r="G598" s="261">
        <f t="shared" si="246"/>
        <v>448052520</v>
      </c>
      <c r="H598" s="261">
        <v>178100000</v>
      </c>
      <c r="I598" s="261">
        <v>381600000</v>
      </c>
      <c r="J598" s="261">
        <f t="shared" si="247"/>
        <v>66452520</v>
      </c>
      <c r="K598" s="261">
        <v>35100000</v>
      </c>
      <c r="L598" s="261">
        <v>110684424</v>
      </c>
      <c r="M598" s="261">
        <f t="shared" si="234"/>
        <v>270915576</v>
      </c>
      <c r="N598" s="261">
        <v>182600000</v>
      </c>
      <c r="O598" s="261">
        <v>396600000</v>
      </c>
      <c r="P598" s="261">
        <f t="shared" si="231"/>
        <v>15000000</v>
      </c>
      <c r="Q598" s="177">
        <f t="shared" si="248"/>
        <v>51452520</v>
      </c>
      <c r="R598" s="261">
        <f t="shared" si="232"/>
        <v>110684424</v>
      </c>
      <c r="T598" s="185">
        <v>306124</v>
      </c>
      <c r="U598" s="259" t="s">
        <v>714</v>
      </c>
      <c r="V598" s="261">
        <v>0</v>
      </c>
      <c r="W598" s="261">
        <v>0</v>
      </c>
      <c r="X598" s="261">
        <v>0</v>
      </c>
      <c r="Y598" s="261">
        <v>448052520</v>
      </c>
      <c r="Z598" s="261">
        <v>448052520</v>
      </c>
      <c r="AA598" s="261">
        <v>178100000</v>
      </c>
      <c r="AB598" s="261">
        <v>381600000</v>
      </c>
      <c r="AC598" s="261">
        <v>66452520</v>
      </c>
      <c r="AD598" s="261">
        <v>35100000</v>
      </c>
      <c r="AE598" s="261">
        <v>110684424</v>
      </c>
      <c r="AF598" s="261">
        <v>270915576</v>
      </c>
      <c r="AG598" s="261">
        <v>182600000</v>
      </c>
      <c r="AH598" s="261">
        <v>396600000</v>
      </c>
      <c r="AI598" s="261">
        <v>15000000</v>
      </c>
      <c r="AJ598" s="261">
        <v>51452520</v>
      </c>
      <c r="AK598" s="261">
        <v>0</v>
      </c>
      <c r="AL598" s="261">
        <v>0</v>
      </c>
      <c r="AM598" s="261">
        <v>214000000</v>
      </c>
      <c r="AN598" s="261">
        <v>214000000</v>
      </c>
      <c r="AO598" s="261">
        <v>0</v>
      </c>
      <c r="AP598" s="261">
        <v>234052520</v>
      </c>
      <c r="AQ598" s="261"/>
      <c r="AS598" s="261"/>
    </row>
    <row r="599" spans="1:45" x14ac:dyDescent="0.25">
      <c r="A599" s="185">
        <v>306125</v>
      </c>
      <c r="B599" s="259" t="s">
        <v>715</v>
      </c>
      <c r="C599" s="261">
        <v>0</v>
      </c>
      <c r="D599" s="261">
        <v>0</v>
      </c>
      <c r="E599" s="261">
        <v>0</v>
      </c>
      <c r="F599" s="261">
        <v>1340137129.0599999</v>
      </c>
      <c r="G599" s="261">
        <f t="shared" si="246"/>
        <v>1340137129.0599999</v>
      </c>
      <c r="H599" s="261">
        <v>631266000</v>
      </c>
      <c r="I599" s="261">
        <v>685266000</v>
      </c>
      <c r="J599" s="261">
        <f t="shared" si="247"/>
        <v>654871129.05999994</v>
      </c>
      <c r="K599" s="261">
        <v>18900000</v>
      </c>
      <c r="L599" s="261">
        <v>18900000</v>
      </c>
      <c r="M599" s="261">
        <f t="shared" si="234"/>
        <v>666366000</v>
      </c>
      <c r="N599" s="261">
        <v>54900000</v>
      </c>
      <c r="O599" s="261">
        <v>839611000</v>
      </c>
      <c r="P599" s="261">
        <f t="shared" si="231"/>
        <v>154345000</v>
      </c>
      <c r="Q599" s="177">
        <f t="shared" si="248"/>
        <v>500526129.05999994</v>
      </c>
      <c r="R599" s="261">
        <f t="shared" si="232"/>
        <v>18900000</v>
      </c>
      <c r="T599" s="185">
        <v>306125</v>
      </c>
      <c r="U599" s="259" t="s">
        <v>715</v>
      </c>
      <c r="V599" s="261">
        <v>0</v>
      </c>
      <c r="W599" s="261">
        <v>0</v>
      </c>
      <c r="X599" s="261">
        <v>0</v>
      </c>
      <c r="Y599" s="261">
        <v>1340137129.0599999</v>
      </c>
      <c r="Z599" s="261">
        <v>1340137129.0599999</v>
      </c>
      <c r="AA599" s="261">
        <v>631266000</v>
      </c>
      <c r="AB599" s="261">
        <v>685266000</v>
      </c>
      <c r="AC599" s="261">
        <v>654871129.05999994</v>
      </c>
      <c r="AD599" s="261">
        <v>18900000</v>
      </c>
      <c r="AE599" s="261">
        <v>18900000</v>
      </c>
      <c r="AF599" s="261">
        <v>666366000</v>
      </c>
      <c r="AG599" s="261">
        <v>54900000</v>
      </c>
      <c r="AH599" s="261">
        <v>839611000</v>
      </c>
      <c r="AI599" s="261">
        <v>154345000</v>
      </c>
      <c r="AJ599" s="261">
        <v>500526129.05999994</v>
      </c>
      <c r="AK599" s="261">
        <v>0</v>
      </c>
      <c r="AL599" s="261">
        <v>54900000</v>
      </c>
      <c r="AM599" s="261">
        <v>839611000</v>
      </c>
      <c r="AN599" s="261">
        <v>839611000</v>
      </c>
      <c r="AO599" s="261">
        <v>375133000</v>
      </c>
      <c r="AP599" s="261">
        <v>500526129.05999994</v>
      </c>
      <c r="AQ599" s="261"/>
      <c r="AS599" s="261"/>
    </row>
    <row r="600" spans="1:45" x14ac:dyDescent="0.25">
      <c r="A600" s="185">
        <v>306126</v>
      </c>
      <c r="B600" s="259" t="s">
        <v>1150</v>
      </c>
      <c r="C600" s="261"/>
      <c r="D600" s="261"/>
      <c r="E600" s="261"/>
      <c r="F600" s="261">
        <v>197493304</v>
      </c>
      <c r="G600" s="261">
        <f t="shared" si="246"/>
        <v>197493304</v>
      </c>
      <c r="H600" s="261">
        <v>88200000</v>
      </c>
      <c r="I600" s="261">
        <v>99642000</v>
      </c>
      <c r="J600" s="261">
        <f t="shared" si="247"/>
        <v>97851304</v>
      </c>
      <c r="K600" s="261">
        <v>0</v>
      </c>
      <c r="L600" s="261">
        <v>11442000</v>
      </c>
      <c r="M600" s="261">
        <f t="shared" si="234"/>
        <v>88200000</v>
      </c>
      <c r="N600" s="261">
        <v>0</v>
      </c>
      <c r="O600" s="261">
        <v>116287198</v>
      </c>
      <c r="P600" s="261">
        <f t="shared" si="231"/>
        <v>16645198</v>
      </c>
      <c r="Q600" s="177">
        <f t="shared" si="248"/>
        <v>81206106</v>
      </c>
      <c r="R600" s="261">
        <f t="shared" si="232"/>
        <v>11442000</v>
      </c>
      <c r="T600" s="185">
        <v>306126</v>
      </c>
      <c r="U600" s="259" t="s">
        <v>1150</v>
      </c>
      <c r="V600" s="261">
        <v>0</v>
      </c>
      <c r="W600" s="261">
        <v>0</v>
      </c>
      <c r="X600" s="261">
        <v>0</v>
      </c>
      <c r="Y600" s="261">
        <v>197493304</v>
      </c>
      <c r="Z600" s="261">
        <v>197493304</v>
      </c>
      <c r="AA600" s="261">
        <v>88200000</v>
      </c>
      <c r="AB600" s="261">
        <v>99642000</v>
      </c>
      <c r="AC600" s="261">
        <v>97851304</v>
      </c>
      <c r="AD600" s="261">
        <v>0</v>
      </c>
      <c r="AE600" s="261">
        <v>11442000</v>
      </c>
      <c r="AF600" s="261">
        <v>88200000</v>
      </c>
      <c r="AG600" s="261">
        <v>0</v>
      </c>
      <c r="AH600" s="261">
        <v>116287198</v>
      </c>
      <c r="AI600" s="261">
        <v>16645198</v>
      </c>
      <c r="AJ600" s="261">
        <v>81206106</v>
      </c>
      <c r="AK600" s="261">
        <v>0</v>
      </c>
      <c r="AL600" s="261">
        <v>0</v>
      </c>
      <c r="AM600" s="261">
        <v>116287198</v>
      </c>
      <c r="AN600" s="261">
        <v>116287198</v>
      </c>
      <c r="AO600" s="261">
        <v>104845198</v>
      </c>
      <c r="AP600" s="261">
        <v>81206106</v>
      </c>
      <c r="AQ600" s="261"/>
      <c r="AS600" s="261"/>
    </row>
    <row r="601" spans="1:45" x14ac:dyDescent="0.25">
      <c r="A601" s="185">
        <v>306127</v>
      </c>
      <c r="B601" s="259" t="s">
        <v>1151</v>
      </c>
      <c r="C601" s="261"/>
      <c r="D601" s="261"/>
      <c r="E601" s="261"/>
      <c r="F601" s="261">
        <v>270000000</v>
      </c>
      <c r="G601" s="261">
        <f t="shared" si="246"/>
        <v>270000000</v>
      </c>
      <c r="H601" s="261">
        <v>98600000</v>
      </c>
      <c r="I601" s="261">
        <v>98600000</v>
      </c>
      <c r="J601" s="261">
        <f t="shared" si="247"/>
        <v>171400000</v>
      </c>
      <c r="K601" s="261">
        <v>0</v>
      </c>
      <c r="L601" s="261">
        <v>0</v>
      </c>
      <c r="M601" s="261">
        <f t="shared" si="234"/>
        <v>98600000</v>
      </c>
      <c r="N601" s="261">
        <v>0</v>
      </c>
      <c r="O601" s="261">
        <v>260660000</v>
      </c>
      <c r="P601" s="261">
        <f t="shared" si="231"/>
        <v>162060000</v>
      </c>
      <c r="Q601" s="177">
        <f t="shared" si="248"/>
        <v>9340000</v>
      </c>
      <c r="R601" s="261">
        <f t="shared" si="232"/>
        <v>0</v>
      </c>
      <c r="T601" s="185">
        <v>306127</v>
      </c>
      <c r="U601" s="259" t="s">
        <v>1151</v>
      </c>
      <c r="V601" s="261">
        <v>0</v>
      </c>
      <c r="W601" s="261">
        <v>0</v>
      </c>
      <c r="X601" s="261">
        <v>0</v>
      </c>
      <c r="Y601" s="261">
        <v>270000000</v>
      </c>
      <c r="Z601" s="261">
        <v>270000000</v>
      </c>
      <c r="AA601" s="261">
        <v>98600000</v>
      </c>
      <c r="AB601" s="261">
        <v>98600000</v>
      </c>
      <c r="AC601" s="261">
        <v>171400000</v>
      </c>
      <c r="AD601" s="261">
        <v>0</v>
      </c>
      <c r="AE601" s="261">
        <v>0</v>
      </c>
      <c r="AF601" s="261">
        <v>98600000</v>
      </c>
      <c r="AG601" s="261">
        <v>0</v>
      </c>
      <c r="AH601" s="261">
        <v>260660000</v>
      </c>
      <c r="AI601" s="261">
        <v>162060000</v>
      </c>
      <c r="AJ601" s="261">
        <v>9340000</v>
      </c>
      <c r="AK601" s="261">
        <v>6000000</v>
      </c>
      <c r="AL601" s="261">
        <v>0</v>
      </c>
      <c r="AM601" s="261">
        <v>266660000</v>
      </c>
      <c r="AN601" s="261">
        <v>260660000</v>
      </c>
      <c r="AO601" s="261">
        <v>260660000</v>
      </c>
      <c r="AP601" s="261">
        <v>9340000</v>
      </c>
      <c r="AQ601" s="261"/>
      <c r="AS601" s="261"/>
    </row>
    <row r="602" spans="1:45" x14ac:dyDescent="0.25">
      <c r="A602" s="185">
        <v>306128</v>
      </c>
      <c r="B602" s="259" t="s">
        <v>1152</v>
      </c>
      <c r="C602" s="261"/>
      <c r="D602" s="261"/>
      <c r="E602" s="261"/>
      <c r="F602" s="261">
        <v>439853470</v>
      </c>
      <c r="G602" s="261">
        <f t="shared" si="246"/>
        <v>439853470</v>
      </c>
      <c r="H602" s="261">
        <v>1959878</v>
      </c>
      <c r="I602" s="261">
        <v>1959878</v>
      </c>
      <c r="J602" s="261">
        <f t="shared" si="247"/>
        <v>437893592</v>
      </c>
      <c r="K602" s="261">
        <v>0</v>
      </c>
      <c r="L602" s="261">
        <v>0</v>
      </c>
      <c r="M602" s="261">
        <f t="shared" si="234"/>
        <v>1959878</v>
      </c>
      <c r="N602" s="261">
        <v>357549348</v>
      </c>
      <c r="O602" s="261">
        <v>378549348</v>
      </c>
      <c r="P602" s="261">
        <f t="shared" si="231"/>
        <v>376589470</v>
      </c>
      <c r="Q602" s="177">
        <f t="shared" si="248"/>
        <v>61304122</v>
      </c>
      <c r="R602" s="261">
        <f t="shared" si="232"/>
        <v>0</v>
      </c>
      <c r="T602" s="185">
        <v>306128</v>
      </c>
      <c r="U602" s="259" t="s">
        <v>1152</v>
      </c>
      <c r="V602" s="261">
        <v>0</v>
      </c>
      <c r="W602" s="261">
        <v>0</v>
      </c>
      <c r="X602" s="261">
        <v>0</v>
      </c>
      <c r="Y602" s="261">
        <v>439853470</v>
      </c>
      <c r="Z602" s="261">
        <v>439853470</v>
      </c>
      <c r="AA602" s="261">
        <v>1959878</v>
      </c>
      <c r="AB602" s="261">
        <v>1959878</v>
      </c>
      <c r="AC602" s="261">
        <v>437893592</v>
      </c>
      <c r="AD602" s="261">
        <v>0</v>
      </c>
      <c r="AE602" s="261">
        <v>0</v>
      </c>
      <c r="AF602" s="261">
        <v>1959878</v>
      </c>
      <c r="AG602" s="261">
        <v>357549348</v>
      </c>
      <c r="AH602" s="261">
        <v>378549348</v>
      </c>
      <c r="AI602" s="261">
        <v>376589470</v>
      </c>
      <c r="AJ602" s="261">
        <v>61304122</v>
      </c>
      <c r="AK602" s="261">
        <v>0</v>
      </c>
      <c r="AL602" s="261">
        <v>1959878</v>
      </c>
      <c r="AM602" s="261">
        <v>22959878</v>
      </c>
      <c r="AN602" s="261">
        <v>22959878</v>
      </c>
      <c r="AO602" s="261">
        <v>21000000</v>
      </c>
      <c r="AP602" s="261">
        <v>416893592</v>
      </c>
      <c r="AQ602" s="261"/>
      <c r="AS602" s="261"/>
    </row>
    <row r="603" spans="1:45" x14ac:dyDescent="0.25">
      <c r="A603" s="185">
        <v>306130</v>
      </c>
      <c r="B603" s="259" t="s">
        <v>1154</v>
      </c>
      <c r="C603" s="261"/>
      <c r="D603" s="261"/>
      <c r="E603" s="261"/>
      <c r="F603" s="261">
        <v>4434326100</v>
      </c>
      <c r="G603" s="261">
        <f t="shared" si="246"/>
        <v>4434326100</v>
      </c>
      <c r="H603" s="261">
        <v>96780000</v>
      </c>
      <c r="I603" s="261">
        <v>2204197236</v>
      </c>
      <c r="J603" s="261">
        <f t="shared" si="247"/>
        <v>2230128864</v>
      </c>
      <c r="K603" s="261">
        <v>0</v>
      </c>
      <c r="L603" s="261">
        <v>668476</v>
      </c>
      <c r="M603" s="261">
        <f t="shared" si="234"/>
        <v>2203528760</v>
      </c>
      <c r="N603" s="261">
        <v>305128440</v>
      </c>
      <c r="O603" s="261">
        <v>2529345676</v>
      </c>
      <c r="P603" s="261">
        <f t="shared" si="231"/>
        <v>325148440</v>
      </c>
      <c r="Q603" s="177">
        <f t="shared" si="248"/>
        <v>1904980424</v>
      </c>
      <c r="R603" s="261">
        <f t="shared" si="232"/>
        <v>668476</v>
      </c>
      <c r="T603" s="185">
        <v>306130</v>
      </c>
      <c r="U603" s="259" t="s">
        <v>1154</v>
      </c>
      <c r="V603" s="261">
        <v>0</v>
      </c>
      <c r="W603" s="261">
        <v>0</v>
      </c>
      <c r="X603" s="261">
        <v>0</v>
      </c>
      <c r="Y603" s="261">
        <v>4434326100</v>
      </c>
      <c r="Z603" s="261">
        <v>4434326100</v>
      </c>
      <c r="AA603" s="261">
        <v>96780000</v>
      </c>
      <c r="AB603" s="261">
        <v>2204197236</v>
      </c>
      <c r="AC603" s="261">
        <v>2230128864</v>
      </c>
      <c r="AD603" s="261">
        <v>0</v>
      </c>
      <c r="AE603" s="261">
        <v>668476</v>
      </c>
      <c r="AF603" s="261">
        <v>2203528760</v>
      </c>
      <c r="AG603" s="261">
        <v>305128440</v>
      </c>
      <c r="AH603" s="261">
        <v>2529345676</v>
      </c>
      <c r="AI603" s="261">
        <v>325148440</v>
      </c>
      <c r="AJ603" s="261">
        <v>1904980424</v>
      </c>
      <c r="AK603" s="261">
        <v>0</v>
      </c>
      <c r="AL603" s="261">
        <v>0</v>
      </c>
      <c r="AM603" s="261">
        <v>176283155.16</v>
      </c>
      <c r="AN603" s="261">
        <v>176283155.16</v>
      </c>
      <c r="AO603" s="261">
        <v>0</v>
      </c>
      <c r="AP603" s="261">
        <v>0</v>
      </c>
      <c r="AQ603" s="261"/>
      <c r="AS603" s="261"/>
    </row>
    <row r="604" spans="1:45" x14ac:dyDescent="0.25">
      <c r="A604" s="185">
        <v>306131</v>
      </c>
      <c r="B604" s="259" t="s">
        <v>1155</v>
      </c>
      <c r="C604" s="261"/>
      <c r="D604" s="261"/>
      <c r="E604" s="261"/>
      <c r="F604" s="261">
        <v>691914766</v>
      </c>
      <c r="G604" s="261">
        <f t="shared" si="246"/>
        <v>691914766</v>
      </c>
      <c r="H604" s="261">
        <v>96000000</v>
      </c>
      <c r="I604" s="261">
        <v>96000000</v>
      </c>
      <c r="J604" s="261">
        <f t="shared" si="247"/>
        <v>595914766</v>
      </c>
      <c r="K604" s="261">
        <v>0</v>
      </c>
      <c r="L604" s="261">
        <v>0</v>
      </c>
      <c r="M604" s="261">
        <f t="shared" si="234"/>
        <v>96000000</v>
      </c>
      <c r="N604" s="261">
        <v>0</v>
      </c>
      <c r="O604" s="261">
        <v>658322432</v>
      </c>
      <c r="P604" s="261">
        <f t="shared" si="231"/>
        <v>562322432</v>
      </c>
      <c r="Q604" s="177">
        <f t="shared" si="248"/>
        <v>33592334</v>
      </c>
      <c r="R604" s="261">
        <f t="shared" si="232"/>
        <v>0</v>
      </c>
      <c r="T604" s="185">
        <v>306131</v>
      </c>
      <c r="U604" s="259" t="s">
        <v>1155</v>
      </c>
      <c r="V604" s="261">
        <v>0</v>
      </c>
      <c r="W604" s="261">
        <v>0</v>
      </c>
      <c r="X604" s="261">
        <v>0</v>
      </c>
      <c r="Y604" s="261">
        <v>691914766</v>
      </c>
      <c r="Z604" s="261">
        <v>691914766</v>
      </c>
      <c r="AA604" s="261">
        <v>96000000</v>
      </c>
      <c r="AB604" s="261">
        <v>96000000</v>
      </c>
      <c r="AC604" s="261">
        <v>595914766</v>
      </c>
      <c r="AD604" s="261">
        <v>0</v>
      </c>
      <c r="AE604" s="261">
        <v>0</v>
      </c>
      <c r="AF604" s="261">
        <v>96000000</v>
      </c>
      <c r="AG604" s="261">
        <v>0</v>
      </c>
      <c r="AH604" s="261">
        <v>658322432</v>
      </c>
      <c r="AI604" s="261">
        <v>562322432</v>
      </c>
      <c r="AJ604" s="261">
        <v>33592334</v>
      </c>
      <c r="AK604" s="261">
        <v>0</v>
      </c>
      <c r="AL604" s="261">
        <v>305128440</v>
      </c>
      <c r="AM604" s="261">
        <v>2529345676</v>
      </c>
      <c r="AN604" s="261">
        <v>2529345676</v>
      </c>
      <c r="AO604" s="261">
        <v>325148440</v>
      </c>
      <c r="AP604" s="261">
        <v>1904980424</v>
      </c>
      <c r="AQ604" s="261"/>
      <c r="AS604" s="261"/>
    </row>
    <row r="605" spans="1:45" x14ac:dyDescent="0.25">
      <c r="A605" s="185">
        <v>306132</v>
      </c>
      <c r="B605" s="259" t="s">
        <v>1156</v>
      </c>
      <c r="C605" s="261"/>
      <c r="D605" s="261"/>
      <c r="E605" s="261"/>
      <c r="F605" s="261">
        <v>134560504</v>
      </c>
      <c r="G605" s="261">
        <f t="shared" si="246"/>
        <v>134560504</v>
      </c>
      <c r="H605" s="261">
        <v>0</v>
      </c>
      <c r="I605" s="261">
        <v>22023879.84</v>
      </c>
      <c r="J605" s="261">
        <f t="shared" si="247"/>
        <v>112536624.16</v>
      </c>
      <c r="K605" s="261">
        <v>0</v>
      </c>
      <c r="L605" s="261">
        <v>8150392.8399999999</v>
      </c>
      <c r="M605" s="261">
        <f t="shared" si="234"/>
        <v>13873487</v>
      </c>
      <c r="N605" s="261">
        <v>6978000</v>
      </c>
      <c r="O605" s="261">
        <v>107971735.84</v>
      </c>
      <c r="P605" s="261">
        <f t="shared" si="231"/>
        <v>85947856</v>
      </c>
      <c r="Q605" s="177">
        <f t="shared" si="248"/>
        <v>26588768.159999996</v>
      </c>
      <c r="R605" s="261">
        <f t="shared" si="232"/>
        <v>8150392.8399999999</v>
      </c>
      <c r="T605" s="185">
        <v>306132</v>
      </c>
      <c r="U605" s="259" t="s">
        <v>1156</v>
      </c>
      <c r="V605" s="261">
        <v>0</v>
      </c>
      <c r="W605" s="261">
        <v>0</v>
      </c>
      <c r="X605" s="261">
        <v>0</v>
      </c>
      <c r="Y605" s="261">
        <v>134560504</v>
      </c>
      <c r="Z605" s="261">
        <v>134560504</v>
      </c>
      <c r="AA605" s="261">
        <v>0</v>
      </c>
      <c r="AB605" s="261">
        <v>22023879.84</v>
      </c>
      <c r="AC605" s="261">
        <v>112536624.16</v>
      </c>
      <c r="AD605" s="261">
        <v>0</v>
      </c>
      <c r="AE605" s="261">
        <v>8150392.8399999999</v>
      </c>
      <c r="AF605" s="261">
        <v>13873487</v>
      </c>
      <c r="AG605" s="261">
        <v>6978000</v>
      </c>
      <c r="AH605" s="261">
        <v>107971735.84</v>
      </c>
      <c r="AI605" s="261">
        <v>85947856</v>
      </c>
      <c r="AJ605" s="261">
        <v>26588768.159999996</v>
      </c>
      <c r="AK605" s="261">
        <v>0</v>
      </c>
      <c r="AL605" s="261">
        <v>0</v>
      </c>
      <c r="AM605" s="261">
        <v>658322432</v>
      </c>
      <c r="AN605" s="261">
        <v>658322432</v>
      </c>
      <c r="AO605" s="261">
        <v>658322432</v>
      </c>
      <c r="AP605" s="261">
        <v>33592334</v>
      </c>
      <c r="AQ605" s="261"/>
      <c r="AS605" s="261"/>
    </row>
    <row r="606" spans="1:45" x14ac:dyDescent="0.25">
      <c r="A606" s="185">
        <v>306133</v>
      </c>
      <c r="B606" s="259" t="s">
        <v>1157</v>
      </c>
      <c r="C606" s="261"/>
      <c r="D606" s="261"/>
      <c r="E606" s="261"/>
      <c r="F606" s="261">
        <v>114334899</v>
      </c>
      <c r="G606" s="261">
        <f t="shared" si="246"/>
        <v>114334899</v>
      </c>
      <c r="H606" s="261">
        <v>26250000</v>
      </c>
      <c r="I606" s="261">
        <v>26250000</v>
      </c>
      <c r="J606" s="261">
        <f t="shared" si="247"/>
        <v>88084899</v>
      </c>
      <c r="K606" s="261">
        <v>0</v>
      </c>
      <c r="L606" s="261">
        <v>0</v>
      </c>
      <c r="M606" s="261">
        <f t="shared" si="234"/>
        <v>26250000</v>
      </c>
      <c r="N606" s="261">
        <v>0</v>
      </c>
      <c r="O606" s="261">
        <v>114050000</v>
      </c>
      <c r="P606" s="261">
        <f t="shared" si="231"/>
        <v>87800000</v>
      </c>
      <c r="Q606" s="177">
        <f t="shared" si="248"/>
        <v>284899</v>
      </c>
      <c r="R606" s="261">
        <f t="shared" si="232"/>
        <v>0</v>
      </c>
      <c r="T606" s="185">
        <v>306133</v>
      </c>
      <c r="U606" s="259" t="s">
        <v>1157</v>
      </c>
      <c r="V606" s="261">
        <v>0</v>
      </c>
      <c r="W606" s="261">
        <v>0</v>
      </c>
      <c r="X606" s="261">
        <v>0</v>
      </c>
      <c r="Y606" s="261">
        <v>114334899</v>
      </c>
      <c r="Z606" s="261">
        <v>114334899</v>
      </c>
      <c r="AA606" s="261">
        <v>26250000</v>
      </c>
      <c r="AB606" s="261">
        <v>26250000</v>
      </c>
      <c r="AC606" s="261">
        <v>88084899</v>
      </c>
      <c r="AD606" s="261">
        <v>0</v>
      </c>
      <c r="AE606" s="261">
        <v>0</v>
      </c>
      <c r="AF606" s="261">
        <v>26250000</v>
      </c>
      <c r="AG606" s="261">
        <v>0</v>
      </c>
      <c r="AH606" s="261">
        <v>114050000</v>
      </c>
      <c r="AI606" s="261">
        <v>87800000</v>
      </c>
      <c r="AJ606" s="261">
        <v>284899</v>
      </c>
      <c r="AK606" s="261">
        <v>0</v>
      </c>
      <c r="AL606" s="261">
        <v>0</v>
      </c>
      <c r="AM606" s="261">
        <v>100993735.84</v>
      </c>
      <c r="AN606" s="261">
        <v>100993735.84</v>
      </c>
      <c r="AO606" s="261">
        <v>78969856</v>
      </c>
      <c r="AP606" s="261">
        <v>33566768.159999996</v>
      </c>
      <c r="AQ606" s="261"/>
      <c r="AS606" s="261"/>
    </row>
    <row r="607" spans="1:45" x14ac:dyDescent="0.25">
      <c r="A607" s="185">
        <v>306134</v>
      </c>
      <c r="B607" s="259" t="s">
        <v>1158</v>
      </c>
      <c r="C607" s="261"/>
      <c r="D607" s="261"/>
      <c r="E607" s="261"/>
      <c r="F607" s="261">
        <v>40900000</v>
      </c>
      <c r="G607" s="261">
        <f t="shared" si="246"/>
        <v>40900000</v>
      </c>
      <c r="H607" s="261">
        <v>0</v>
      </c>
      <c r="I607" s="261">
        <v>0</v>
      </c>
      <c r="J607" s="261">
        <f t="shared" si="247"/>
        <v>40900000</v>
      </c>
      <c r="K607" s="261">
        <v>0</v>
      </c>
      <c r="L607" s="261">
        <v>0</v>
      </c>
      <c r="M607" s="261">
        <f t="shared" si="234"/>
        <v>0</v>
      </c>
      <c r="N607" s="261">
        <v>0</v>
      </c>
      <c r="O607" s="261">
        <v>0</v>
      </c>
      <c r="P607" s="261">
        <f t="shared" si="231"/>
        <v>0</v>
      </c>
      <c r="Q607" s="177">
        <f t="shared" si="248"/>
        <v>40900000</v>
      </c>
      <c r="R607" s="261">
        <f t="shared" si="232"/>
        <v>0</v>
      </c>
      <c r="T607" s="185">
        <v>306134</v>
      </c>
      <c r="U607" s="259" t="s">
        <v>1158</v>
      </c>
      <c r="V607" s="261">
        <v>0</v>
      </c>
      <c r="W607" s="261">
        <v>0</v>
      </c>
      <c r="X607" s="261">
        <v>0</v>
      </c>
      <c r="Y607" s="261">
        <v>40900000</v>
      </c>
      <c r="Z607" s="261">
        <v>40900000</v>
      </c>
      <c r="AA607" s="261">
        <v>0</v>
      </c>
      <c r="AB607" s="261">
        <v>0</v>
      </c>
      <c r="AC607" s="261">
        <v>40900000</v>
      </c>
      <c r="AD607" s="261">
        <v>0</v>
      </c>
      <c r="AE607" s="261">
        <v>0</v>
      </c>
      <c r="AF607" s="261">
        <v>0</v>
      </c>
      <c r="AG607" s="261">
        <v>0</v>
      </c>
      <c r="AH607" s="261">
        <v>0</v>
      </c>
      <c r="AI607" s="261">
        <v>0</v>
      </c>
      <c r="AJ607" s="261">
        <v>40900000</v>
      </c>
      <c r="AK607" s="261">
        <v>0</v>
      </c>
      <c r="AL607" s="261">
        <v>0</v>
      </c>
      <c r="AM607" s="261">
        <v>114050000</v>
      </c>
      <c r="AN607" s="261">
        <v>114050000</v>
      </c>
      <c r="AO607" s="261">
        <v>114050000</v>
      </c>
      <c r="AP607" s="261">
        <v>284899</v>
      </c>
      <c r="AQ607" s="261"/>
      <c r="AS607" s="261"/>
    </row>
    <row r="608" spans="1:45" x14ac:dyDescent="0.25">
      <c r="A608" s="185">
        <v>306135</v>
      </c>
      <c r="B608" s="259" t="s">
        <v>1159</v>
      </c>
      <c r="C608" s="261"/>
      <c r="D608" s="261"/>
      <c r="E608" s="261"/>
      <c r="F608" s="261">
        <v>46600000</v>
      </c>
      <c r="G608" s="261">
        <f t="shared" si="246"/>
        <v>46600000</v>
      </c>
      <c r="H608" s="261">
        <v>14000000</v>
      </c>
      <c r="I608" s="261">
        <v>14000000</v>
      </c>
      <c r="J608" s="261">
        <f t="shared" si="247"/>
        <v>32600000</v>
      </c>
      <c r="K608" s="261">
        <v>0</v>
      </c>
      <c r="L608" s="261">
        <v>0</v>
      </c>
      <c r="M608" s="261">
        <f t="shared" si="234"/>
        <v>14000000</v>
      </c>
      <c r="N608" s="261">
        <v>0</v>
      </c>
      <c r="O608" s="261">
        <v>14000000</v>
      </c>
      <c r="P608" s="261">
        <f t="shared" si="231"/>
        <v>0</v>
      </c>
      <c r="Q608" s="177">
        <f t="shared" si="248"/>
        <v>32600000</v>
      </c>
      <c r="R608" s="261">
        <f t="shared" si="232"/>
        <v>0</v>
      </c>
      <c r="T608" s="185">
        <v>306135</v>
      </c>
      <c r="U608" s="259" t="s">
        <v>1159</v>
      </c>
      <c r="V608" s="261">
        <v>0</v>
      </c>
      <c r="W608" s="261">
        <v>0</v>
      </c>
      <c r="X608" s="261">
        <v>0</v>
      </c>
      <c r="Y608" s="261">
        <v>46600000</v>
      </c>
      <c r="Z608" s="261">
        <v>46600000</v>
      </c>
      <c r="AA608" s="261">
        <v>14000000</v>
      </c>
      <c r="AB608" s="261">
        <v>14000000</v>
      </c>
      <c r="AC608" s="261">
        <v>32600000</v>
      </c>
      <c r="AD608" s="261">
        <v>0</v>
      </c>
      <c r="AE608" s="261">
        <v>0</v>
      </c>
      <c r="AF608" s="261">
        <v>14000000</v>
      </c>
      <c r="AG608" s="261">
        <v>0</v>
      </c>
      <c r="AH608" s="261">
        <v>14000000</v>
      </c>
      <c r="AI608" s="261">
        <v>0</v>
      </c>
      <c r="AJ608" s="261">
        <v>32600000</v>
      </c>
      <c r="AK608" s="261">
        <v>0</v>
      </c>
      <c r="AL608" s="261">
        <v>0</v>
      </c>
      <c r="AM608" s="261">
        <v>0</v>
      </c>
      <c r="AN608" s="261">
        <v>0</v>
      </c>
      <c r="AO608" s="261">
        <v>0</v>
      </c>
      <c r="AP608" s="261">
        <v>40900000</v>
      </c>
      <c r="AQ608" s="261"/>
      <c r="AS608" s="261"/>
    </row>
    <row r="609" spans="1:45" x14ac:dyDescent="0.25">
      <c r="A609" s="185">
        <v>306136</v>
      </c>
      <c r="B609" s="259" t="s">
        <v>1160</v>
      </c>
      <c r="C609" s="261"/>
      <c r="D609" s="261"/>
      <c r="E609" s="261"/>
      <c r="F609" s="261">
        <v>474244780.16000003</v>
      </c>
      <c r="G609" s="261">
        <f t="shared" si="246"/>
        <v>474244780.16000003</v>
      </c>
      <c r="H609" s="261">
        <v>38304240</v>
      </c>
      <c r="I609" s="261">
        <v>77244240</v>
      </c>
      <c r="J609" s="261">
        <f t="shared" si="247"/>
        <v>397000540.16000003</v>
      </c>
      <c r="K609" s="261">
        <v>750000</v>
      </c>
      <c r="L609" s="261">
        <v>750000</v>
      </c>
      <c r="M609" s="261">
        <f t="shared" si="234"/>
        <v>76494240</v>
      </c>
      <c r="N609" s="261">
        <v>0</v>
      </c>
      <c r="O609" s="261">
        <v>167188000</v>
      </c>
      <c r="P609" s="261">
        <f t="shared" si="231"/>
        <v>89943760</v>
      </c>
      <c r="Q609" s="177">
        <f t="shared" si="248"/>
        <v>307056780.16000003</v>
      </c>
      <c r="R609" s="261">
        <f t="shared" si="232"/>
        <v>750000</v>
      </c>
      <c r="T609" s="185">
        <v>306136</v>
      </c>
      <c r="U609" s="259" t="s">
        <v>1160</v>
      </c>
      <c r="V609" s="261">
        <v>0</v>
      </c>
      <c r="W609" s="261">
        <v>0</v>
      </c>
      <c r="X609" s="261">
        <v>0</v>
      </c>
      <c r="Y609" s="261">
        <v>474244780.16000003</v>
      </c>
      <c r="Z609" s="261">
        <v>474244780.16000003</v>
      </c>
      <c r="AA609" s="261">
        <v>38304240</v>
      </c>
      <c r="AB609" s="261">
        <v>77244240</v>
      </c>
      <c r="AC609" s="261">
        <v>397000540.16000003</v>
      </c>
      <c r="AD609" s="261">
        <v>750000</v>
      </c>
      <c r="AE609" s="261">
        <v>750000</v>
      </c>
      <c r="AF609" s="261">
        <v>76494240</v>
      </c>
      <c r="AG609" s="261">
        <v>0</v>
      </c>
      <c r="AH609" s="261">
        <v>167188000</v>
      </c>
      <c r="AI609" s="261">
        <v>89943760</v>
      </c>
      <c r="AJ609" s="261">
        <v>307056780.16000003</v>
      </c>
      <c r="AK609" s="261">
        <v>0</v>
      </c>
      <c r="AL609" s="261">
        <v>0</v>
      </c>
      <c r="AM609" s="261">
        <v>14000000</v>
      </c>
      <c r="AN609" s="261">
        <v>14000000</v>
      </c>
      <c r="AO609" s="261">
        <v>8400000</v>
      </c>
      <c r="AP609" s="261">
        <v>32600000</v>
      </c>
      <c r="AQ609" s="261"/>
      <c r="AS609" s="261"/>
    </row>
    <row r="610" spans="1:45" x14ac:dyDescent="0.25">
      <c r="A610" s="185">
        <v>306137</v>
      </c>
      <c r="B610" s="259" t="s">
        <v>1161</v>
      </c>
      <c r="C610" s="261"/>
      <c r="D610" s="261"/>
      <c r="E610" s="261"/>
      <c r="F610" s="261">
        <v>108928560.72</v>
      </c>
      <c r="G610" s="261">
        <f t="shared" si="246"/>
        <v>108928560.72</v>
      </c>
      <c r="H610" s="261">
        <v>21700000</v>
      </c>
      <c r="I610" s="261">
        <v>62400000</v>
      </c>
      <c r="J610" s="261">
        <f t="shared" si="247"/>
        <v>46528560.719999999</v>
      </c>
      <c r="K610" s="261">
        <v>1750000</v>
      </c>
      <c r="L610" s="261">
        <v>1750000</v>
      </c>
      <c r="M610" s="261">
        <f t="shared" si="234"/>
        <v>60650000</v>
      </c>
      <c r="N610" s="261">
        <v>0</v>
      </c>
      <c r="O610" s="261">
        <v>71700000</v>
      </c>
      <c r="P610" s="261">
        <f t="shared" si="231"/>
        <v>9300000</v>
      </c>
      <c r="Q610" s="177">
        <f t="shared" si="248"/>
        <v>37228560.719999999</v>
      </c>
      <c r="R610" s="261">
        <f t="shared" si="232"/>
        <v>1750000</v>
      </c>
      <c r="T610" s="185">
        <v>306137</v>
      </c>
      <c r="U610" s="259" t="s">
        <v>1161</v>
      </c>
      <c r="V610" s="261">
        <v>0</v>
      </c>
      <c r="W610" s="261">
        <v>0</v>
      </c>
      <c r="X610" s="261">
        <v>0</v>
      </c>
      <c r="Y610" s="261">
        <v>108928560.72</v>
      </c>
      <c r="Z610" s="261">
        <v>108928560.72</v>
      </c>
      <c r="AA610" s="261">
        <v>21700000</v>
      </c>
      <c r="AB610" s="261">
        <v>62400000</v>
      </c>
      <c r="AC610" s="261">
        <v>46528560.719999999</v>
      </c>
      <c r="AD610" s="261">
        <v>1750000</v>
      </c>
      <c r="AE610" s="261">
        <v>1750000</v>
      </c>
      <c r="AF610" s="261">
        <v>60650000</v>
      </c>
      <c r="AG610" s="261">
        <v>0</v>
      </c>
      <c r="AH610" s="261">
        <v>71700000</v>
      </c>
      <c r="AI610" s="261">
        <v>9300000</v>
      </c>
      <c r="AJ610" s="261">
        <v>37228560.719999999</v>
      </c>
      <c r="AK610" s="261">
        <v>0</v>
      </c>
      <c r="AL610" s="261">
        <v>0</v>
      </c>
      <c r="AM610" s="261">
        <v>167188000</v>
      </c>
      <c r="AN610" s="261">
        <v>167188000</v>
      </c>
      <c r="AO610" s="261">
        <v>128248000</v>
      </c>
      <c r="AP610" s="261">
        <v>307056780.16000003</v>
      </c>
      <c r="AQ610" s="261"/>
      <c r="AS610" s="261"/>
    </row>
    <row r="611" spans="1:45" x14ac:dyDescent="0.25">
      <c r="A611" s="185">
        <v>306138</v>
      </c>
      <c r="B611" s="259" t="s">
        <v>1162</v>
      </c>
      <c r="C611" s="261"/>
      <c r="D611" s="261"/>
      <c r="E611" s="261"/>
      <c r="F611" s="261">
        <v>120000000</v>
      </c>
      <c r="G611" s="261">
        <f t="shared" si="246"/>
        <v>120000000</v>
      </c>
      <c r="H611" s="261">
        <v>66508000</v>
      </c>
      <c r="I611" s="261">
        <v>84768000</v>
      </c>
      <c r="J611" s="261">
        <f t="shared" si="247"/>
        <v>35232000</v>
      </c>
      <c r="K611" s="261">
        <v>26208000</v>
      </c>
      <c r="L611" s="261">
        <v>27968000</v>
      </c>
      <c r="M611" s="261">
        <f t="shared" si="234"/>
        <v>56800000</v>
      </c>
      <c r="N611" s="261">
        <v>12708000</v>
      </c>
      <c r="O611" s="261">
        <v>117878000</v>
      </c>
      <c r="P611" s="261">
        <f t="shared" si="231"/>
        <v>33110000</v>
      </c>
      <c r="Q611" s="177">
        <f t="shared" si="248"/>
        <v>2122000</v>
      </c>
      <c r="R611" s="261">
        <f t="shared" si="232"/>
        <v>27968000</v>
      </c>
      <c r="T611" s="185">
        <v>306138</v>
      </c>
      <c r="U611" s="259" t="s">
        <v>1162</v>
      </c>
      <c r="V611" s="261">
        <v>0</v>
      </c>
      <c r="W611" s="261">
        <v>0</v>
      </c>
      <c r="X611" s="261">
        <v>0</v>
      </c>
      <c r="Y611" s="261">
        <v>120000000</v>
      </c>
      <c r="Z611" s="261">
        <v>120000000</v>
      </c>
      <c r="AA611" s="261">
        <v>66508000</v>
      </c>
      <c r="AB611" s="261">
        <v>84768000</v>
      </c>
      <c r="AC611" s="261">
        <v>35232000</v>
      </c>
      <c r="AD611" s="261">
        <v>26208000</v>
      </c>
      <c r="AE611" s="261">
        <v>27968000</v>
      </c>
      <c r="AF611" s="261">
        <v>56800000</v>
      </c>
      <c r="AG611" s="261">
        <v>12708000</v>
      </c>
      <c r="AH611" s="261">
        <v>117878000</v>
      </c>
      <c r="AI611" s="261">
        <v>33110000</v>
      </c>
      <c r="AJ611" s="261">
        <v>2122000</v>
      </c>
      <c r="AK611" s="261">
        <v>0</v>
      </c>
      <c r="AL611" s="261">
        <v>0</v>
      </c>
      <c r="AM611" s="261">
        <v>71700000</v>
      </c>
      <c r="AN611" s="261">
        <v>71700000</v>
      </c>
      <c r="AO611" s="261">
        <v>31000000</v>
      </c>
      <c r="AP611" s="261">
        <v>37228560.719999999</v>
      </c>
      <c r="AQ611" s="261"/>
      <c r="AS611" s="261"/>
    </row>
    <row r="612" spans="1:45" x14ac:dyDescent="0.25">
      <c r="A612" s="185">
        <v>306139</v>
      </c>
      <c r="B612" s="259" t="s">
        <v>1163</v>
      </c>
      <c r="C612" s="261"/>
      <c r="D612" s="261"/>
      <c r="E612" s="261"/>
      <c r="F612" s="261">
        <v>113000000</v>
      </c>
      <c r="G612" s="261">
        <f t="shared" si="246"/>
        <v>113000000</v>
      </c>
      <c r="H612" s="261">
        <v>65386937</v>
      </c>
      <c r="I612" s="261">
        <v>84710937</v>
      </c>
      <c r="J612" s="261">
        <f t="shared" si="247"/>
        <v>28289063</v>
      </c>
      <c r="K612" s="261">
        <v>23090000</v>
      </c>
      <c r="L612" s="261">
        <v>26914000</v>
      </c>
      <c r="M612" s="261">
        <f t="shared" si="234"/>
        <v>57796937</v>
      </c>
      <c r="N612" s="261">
        <v>10590000</v>
      </c>
      <c r="O612" s="261">
        <v>104714000</v>
      </c>
      <c r="P612" s="261">
        <f t="shared" si="231"/>
        <v>20003063</v>
      </c>
      <c r="Q612" s="177">
        <f t="shared" si="248"/>
        <v>8286000</v>
      </c>
      <c r="R612" s="261">
        <f t="shared" si="232"/>
        <v>26914000</v>
      </c>
      <c r="T612" s="185">
        <v>306139</v>
      </c>
      <c r="U612" s="259" t="s">
        <v>1163</v>
      </c>
      <c r="V612" s="261">
        <v>0</v>
      </c>
      <c r="W612" s="261">
        <v>0</v>
      </c>
      <c r="X612" s="261">
        <v>0</v>
      </c>
      <c r="Y612" s="261">
        <v>113000000</v>
      </c>
      <c r="Z612" s="261">
        <v>113000000</v>
      </c>
      <c r="AA612" s="261">
        <v>65386937</v>
      </c>
      <c r="AB612" s="261">
        <v>84710937</v>
      </c>
      <c r="AC612" s="261">
        <v>28289063</v>
      </c>
      <c r="AD612" s="261">
        <v>23090000</v>
      </c>
      <c r="AE612" s="261">
        <v>26914000</v>
      </c>
      <c r="AF612" s="261">
        <v>57796937</v>
      </c>
      <c r="AG612" s="261">
        <v>10590000</v>
      </c>
      <c r="AH612" s="261">
        <v>104714000</v>
      </c>
      <c r="AI612" s="261">
        <v>20003063</v>
      </c>
      <c r="AJ612" s="261">
        <v>8286000</v>
      </c>
      <c r="AK612" s="261">
        <v>0</v>
      </c>
      <c r="AL612" s="261">
        <v>12708000</v>
      </c>
      <c r="AM612" s="261">
        <v>117878000</v>
      </c>
      <c r="AN612" s="261">
        <v>117878000</v>
      </c>
      <c r="AO612" s="261">
        <v>33110000</v>
      </c>
      <c r="AP612" s="261">
        <v>2122000</v>
      </c>
      <c r="AQ612" s="261"/>
      <c r="AS612" s="261"/>
    </row>
    <row r="613" spans="1:45" x14ac:dyDescent="0.25">
      <c r="A613" s="185">
        <v>306140</v>
      </c>
      <c r="B613" s="259" t="s">
        <v>1164</v>
      </c>
      <c r="C613" s="261"/>
      <c r="D613" s="261"/>
      <c r="E613" s="261"/>
      <c r="F613" s="261">
        <v>94803072</v>
      </c>
      <c r="G613" s="261">
        <f t="shared" si="246"/>
        <v>94803072</v>
      </c>
      <c r="H613" s="261">
        <v>45926157</v>
      </c>
      <c r="I613" s="261">
        <v>65519657</v>
      </c>
      <c r="J613" s="261">
        <f t="shared" si="247"/>
        <v>29283415</v>
      </c>
      <c r="K613" s="261">
        <v>14177307</v>
      </c>
      <c r="L613" s="261">
        <v>25777307</v>
      </c>
      <c r="M613" s="261">
        <f t="shared" si="234"/>
        <v>39742350</v>
      </c>
      <c r="N613" s="261">
        <v>13783157</v>
      </c>
      <c r="O613" s="261">
        <v>94657175.799999997</v>
      </c>
      <c r="P613" s="261">
        <f t="shared" si="231"/>
        <v>29137518.799999997</v>
      </c>
      <c r="Q613" s="177">
        <f t="shared" si="248"/>
        <v>145896.20000000298</v>
      </c>
      <c r="R613" s="261">
        <f t="shared" si="232"/>
        <v>25777307</v>
      </c>
      <c r="T613" s="185">
        <v>306140</v>
      </c>
      <c r="U613" s="259" t="s">
        <v>1164</v>
      </c>
      <c r="V613" s="261">
        <v>0</v>
      </c>
      <c r="W613" s="261">
        <v>0</v>
      </c>
      <c r="X613" s="261">
        <v>0</v>
      </c>
      <c r="Y613" s="261">
        <v>94803072</v>
      </c>
      <c r="Z613" s="261">
        <v>94803072</v>
      </c>
      <c r="AA613" s="261">
        <v>45926157</v>
      </c>
      <c r="AB613" s="261">
        <v>65519657</v>
      </c>
      <c r="AC613" s="261">
        <v>29283415</v>
      </c>
      <c r="AD613" s="261">
        <v>14177307</v>
      </c>
      <c r="AE613" s="261">
        <v>25777307</v>
      </c>
      <c r="AF613" s="261">
        <v>39742350</v>
      </c>
      <c r="AG613" s="261">
        <v>13783157</v>
      </c>
      <c r="AH613" s="261">
        <v>94657175.799999997</v>
      </c>
      <c r="AI613" s="261">
        <v>29137518.799999997</v>
      </c>
      <c r="AJ613" s="261">
        <v>145896.20000000298</v>
      </c>
      <c r="AK613" s="261">
        <v>0</v>
      </c>
      <c r="AL613" s="261">
        <v>10590000</v>
      </c>
      <c r="AM613" s="261">
        <v>104714000</v>
      </c>
      <c r="AN613" s="261">
        <v>104714000</v>
      </c>
      <c r="AO613" s="261">
        <v>37200000</v>
      </c>
      <c r="AP613" s="261">
        <v>8286000</v>
      </c>
      <c r="AQ613" s="261"/>
      <c r="AS613" s="261"/>
    </row>
    <row r="614" spans="1:45" x14ac:dyDescent="0.25">
      <c r="A614" s="185">
        <v>306141</v>
      </c>
      <c r="B614" s="259" t="s">
        <v>1165</v>
      </c>
      <c r="C614" s="261"/>
      <c r="D614" s="261"/>
      <c r="E614" s="261"/>
      <c r="F614" s="261">
        <v>19200000</v>
      </c>
      <c r="G614" s="261">
        <f t="shared" si="246"/>
        <v>19200000</v>
      </c>
      <c r="H614" s="261">
        <v>0</v>
      </c>
      <c r="I614" s="261">
        <v>0</v>
      </c>
      <c r="J614" s="261">
        <f t="shared" si="247"/>
        <v>19200000</v>
      </c>
      <c r="K614" s="261">
        <v>0</v>
      </c>
      <c r="L614" s="261">
        <v>0</v>
      </c>
      <c r="M614" s="261">
        <f t="shared" si="234"/>
        <v>0</v>
      </c>
      <c r="N614" s="261">
        <v>0</v>
      </c>
      <c r="O614" s="261">
        <v>0</v>
      </c>
      <c r="P614" s="261">
        <f t="shared" si="231"/>
        <v>0</v>
      </c>
      <c r="Q614" s="177">
        <f t="shared" si="248"/>
        <v>19200000</v>
      </c>
      <c r="R614" s="261">
        <f t="shared" si="232"/>
        <v>0</v>
      </c>
      <c r="T614" s="185">
        <v>306141</v>
      </c>
      <c r="U614" s="259" t="s">
        <v>1165</v>
      </c>
      <c r="V614" s="261">
        <v>0</v>
      </c>
      <c r="W614" s="261">
        <v>0</v>
      </c>
      <c r="X614" s="261">
        <v>0</v>
      </c>
      <c r="Y614" s="261">
        <v>19200000</v>
      </c>
      <c r="Z614" s="261">
        <v>19200000</v>
      </c>
      <c r="AA614" s="261">
        <v>0</v>
      </c>
      <c r="AB614" s="261">
        <v>0</v>
      </c>
      <c r="AC614" s="261">
        <v>19200000</v>
      </c>
      <c r="AD614" s="261">
        <v>0</v>
      </c>
      <c r="AE614" s="261">
        <v>0</v>
      </c>
      <c r="AF614" s="261">
        <v>0</v>
      </c>
      <c r="AG614" s="261">
        <v>0</v>
      </c>
      <c r="AH614" s="261">
        <v>0</v>
      </c>
      <c r="AI614" s="261">
        <v>0</v>
      </c>
      <c r="AJ614" s="261">
        <v>19200000</v>
      </c>
      <c r="AK614" s="261">
        <v>0</v>
      </c>
      <c r="AL614" s="261">
        <v>13783157</v>
      </c>
      <c r="AM614" s="261">
        <v>94657175.799999997</v>
      </c>
      <c r="AN614" s="261">
        <v>94657175.799999997</v>
      </c>
      <c r="AO614" s="261">
        <v>42080518.799999997</v>
      </c>
      <c r="AP614" s="261">
        <v>145896.20000000298</v>
      </c>
      <c r="AQ614" s="261"/>
      <c r="AS614" s="261"/>
    </row>
    <row r="615" spans="1:45" x14ac:dyDescent="0.25">
      <c r="A615" s="185">
        <v>306142</v>
      </c>
      <c r="B615" s="259" t="s">
        <v>1166</v>
      </c>
      <c r="C615" s="261"/>
      <c r="D615" s="261"/>
      <c r="E615" s="261"/>
      <c r="F615" s="261">
        <v>16714631</v>
      </c>
      <c r="G615" s="261">
        <f t="shared" si="246"/>
        <v>16714631</v>
      </c>
      <c r="H615" s="261">
        <v>0</v>
      </c>
      <c r="I615" s="261">
        <v>7459380</v>
      </c>
      <c r="J615" s="261">
        <f t="shared" si="247"/>
        <v>9255251</v>
      </c>
      <c r="K615" s="261">
        <v>6559380</v>
      </c>
      <c r="L615" s="261">
        <v>6559380</v>
      </c>
      <c r="M615" s="261">
        <f t="shared" si="234"/>
        <v>900000</v>
      </c>
      <c r="N615" s="261">
        <v>8200000</v>
      </c>
      <c r="O615" s="261">
        <v>16700000</v>
      </c>
      <c r="P615" s="261">
        <f t="shared" si="231"/>
        <v>9240620</v>
      </c>
      <c r="Q615" s="177">
        <f t="shared" si="248"/>
        <v>14631</v>
      </c>
      <c r="R615" s="261">
        <f t="shared" si="232"/>
        <v>6559380</v>
      </c>
      <c r="T615" s="185">
        <v>306142</v>
      </c>
      <c r="U615" s="259" t="s">
        <v>1166</v>
      </c>
      <c r="V615" s="261">
        <v>0</v>
      </c>
      <c r="W615" s="261">
        <v>0</v>
      </c>
      <c r="X615" s="261">
        <v>0</v>
      </c>
      <c r="Y615" s="261">
        <v>16714631</v>
      </c>
      <c r="Z615" s="261">
        <v>16714631</v>
      </c>
      <c r="AA615" s="261">
        <v>0</v>
      </c>
      <c r="AB615" s="261">
        <v>7459380</v>
      </c>
      <c r="AC615" s="261">
        <v>9255251</v>
      </c>
      <c r="AD615" s="261">
        <v>6559380</v>
      </c>
      <c r="AE615" s="261">
        <v>6559380</v>
      </c>
      <c r="AF615" s="261">
        <v>900000</v>
      </c>
      <c r="AG615" s="261">
        <v>8200000</v>
      </c>
      <c r="AH615" s="261">
        <v>16700000</v>
      </c>
      <c r="AI615" s="261">
        <v>9240620</v>
      </c>
      <c r="AJ615" s="261">
        <v>14631</v>
      </c>
      <c r="AK615" s="261">
        <v>0</v>
      </c>
      <c r="AL615" s="261">
        <v>0</v>
      </c>
      <c r="AM615" s="261">
        <v>0</v>
      </c>
      <c r="AN615" s="261">
        <v>0</v>
      </c>
      <c r="AO615" s="261">
        <v>0</v>
      </c>
      <c r="AP615" s="261">
        <v>19200000</v>
      </c>
      <c r="AQ615" s="261"/>
      <c r="AS615" s="261"/>
    </row>
    <row r="616" spans="1:45" x14ac:dyDescent="0.25">
      <c r="A616" s="185">
        <v>306143</v>
      </c>
      <c r="B616" s="259" t="s">
        <v>1167</v>
      </c>
      <c r="C616" s="261"/>
      <c r="D616" s="261"/>
      <c r="E616" s="261"/>
      <c r="F616" s="261">
        <v>915923529</v>
      </c>
      <c r="G616" s="261">
        <f t="shared" si="246"/>
        <v>915923529</v>
      </c>
      <c r="H616" s="261">
        <v>0</v>
      </c>
      <c r="I616" s="261">
        <v>0</v>
      </c>
      <c r="J616" s="261">
        <f t="shared" si="247"/>
        <v>915923529</v>
      </c>
      <c r="K616" s="261">
        <v>0</v>
      </c>
      <c r="L616" s="261">
        <v>0</v>
      </c>
      <c r="M616" s="261">
        <f t="shared" si="234"/>
        <v>0</v>
      </c>
      <c r="N616" s="261">
        <v>0</v>
      </c>
      <c r="O616" s="261">
        <v>0</v>
      </c>
      <c r="P616" s="261">
        <f t="shared" si="231"/>
        <v>0</v>
      </c>
      <c r="Q616" s="177">
        <f t="shared" si="248"/>
        <v>915923529</v>
      </c>
      <c r="R616" s="261">
        <f t="shared" si="232"/>
        <v>0</v>
      </c>
      <c r="T616" s="185">
        <v>306143</v>
      </c>
      <c r="U616" s="259" t="s">
        <v>1167</v>
      </c>
      <c r="V616" s="261">
        <v>0</v>
      </c>
      <c r="W616" s="261">
        <v>0</v>
      </c>
      <c r="X616" s="261">
        <v>0</v>
      </c>
      <c r="Y616" s="261">
        <v>915923529</v>
      </c>
      <c r="Z616" s="261">
        <v>915923529</v>
      </c>
      <c r="AA616" s="261">
        <v>0</v>
      </c>
      <c r="AB616" s="261">
        <v>0</v>
      </c>
      <c r="AC616" s="261">
        <v>915923529</v>
      </c>
      <c r="AD616" s="261">
        <v>0</v>
      </c>
      <c r="AE616" s="261">
        <v>0</v>
      </c>
      <c r="AF616" s="261">
        <v>0</v>
      </c>
      <c r="AG616" s="261">
        <v>0</v>
      </c>
      <c r="AH616" s="261">
        <v>0</v>
      </c>
      <c r="AI616" s="261">
        <v>0</v>
      </c>
      <c r="AJ616" s="261">
        <v>915923529</v>
      </c>
      <c r="AK616" s="261">
        <v>0</v>
      </c>
      <c r="AL616" s="261">
        <v>8200000</v>
      </c>
      <c r="AM616" s="261">
        <v>16700000</v>
      </c>
      <c r="AN616" s="261">
        <v>16700000</v>
      </c>
      <c r="AO616" s="261">
        <v>9240620</v>
      </c>
      <c r="AP616" s="261">
        <v>14631</v>
      </c>
      <c r="AQ616" s="261"/>
      <c r="AS616" s="261"/>
    </row>
    <row r="617" spans="1:45" x14ac:dyDescent="0.25">
      <c r="A617" s="185">
        <v>306144</v>
      </c>
      <c r="B617" s="259" t="s">
        <v>1168</v>
      </c>
      <c r="C617" s="261"/>
      <c r="D617" s="261"/>
      <c r="E617" s="261"/>
      <c r="F617" s="261">
        <v>10000000</v>
      </c>
      <c r="G617" s="261">
        <f t="shared" si="246"/>
        <v>10000000</v>
      </c>
      <c r="H617" s="261">
        <v>0</v>
      </c>
      <c r="I617" s="261">
        <v>10000000</v>
      </c>
      <c r="J617" s="261">
        <f t="shared" si="247"/>
        <v>0</v>
      </c>
      <c r="K617" s="261">
        <v>10000000</v>
      </c>
      <c r="L617" s="261">
        <v>10000000</v>
      </c>
      <c r="M617" s="261">
        <f t="shared" si="234"/>
        <v>0</v>
      </c>
      <c r="N617" s="261">
        <v>0</v>
      </c>
      <c r="O617" s="261">
        <v>10000000</v>
      </c>
      <c r="P617" s="261">
        <f t="shared" si="231"/>
        <v>0</v>
      </c>
      <c r="Q617" s="177">
        <f t="shared" si="248"/>
        <v>0</v>
      </c>
      <c r="R617" s="261">
        <f t="shared" si="232"/>
        <v>10000000</v>
      </c>
      <c r="T617" s="185">
        <v>306144</v>
      </c>
      <c r="U617" s="259" t="s">
        <v>1168</v>
      </c>
      <c r="V617" s="261">
        <v>0</v>
      </c>
      <c r="W617" s="261">
        <v>0</v>
      </c>
      <c r="X617" s="261">
        <v>0</v>
      </c>
      <c r="Y617" s="261">
        <v>10000000</v>
      </c>
      <c r="Z617" s="261">
        <v>10000000</v>
      </c>
      <c r="AA617" s="261">
        <v>0</v>
      </c>
      <c r="AB617" s="261">
        <v>10000000</v>
      </c>
      <c r="AC617" s="261">
        <v>0</v>
      </c>
      <c r="AD617" s="261">
        <v>10000000</v>
      </c>
      <c r="AE617" s="261">
        <v>10000000</v>
      </c>
      <c r="AF617" s="261">
        <v>0</v>
      </c>
      <c r="AG617" s="261">
        <v>0</v>
      </c>
      <c r="AH617" s="261">
        <v>10000000</v>
      </c>
      <c r="AI617" s="261">
        <v>0</v>
      </c>
      <c r="AJ617" s="261">
        <v>0</v>
      </c>
      <c r="AK617" s="261">
        <v>0</v>
      </c>
      <c r="AL617" s="261">
        <v>0</v>
      </c>
      <c r="AM617" s="261">
        <v>0</v>
      </c>
      <c r="AN617" s="261">
        <v>0</v>
      </c>
      <c r="AO617" s="261">
        <v>0</v>
      </c>
      <c r="AP617" s="261">
        <v>915923529</v>
      </c>
      <c r="AQ617" s="261"/>
      <c r="AS617" s="261"/>
    </row>
    <row r="618" spans="1:45" x14ac:dyDescent="0.25">
      <c r="A618" s="185">
        <v>306146</v>
      </c>
      <c r="B618" s="259" t="s">
        <v>1349</v>
      </c>
      <c r="C618" s="261">
        <v>0</v>
      </c>
      <c r="D618" s="261">
        <v>0</v>
      </c>
      <c r="E618" s="261">
        <v>0</v>
      </c>
      <c r="F618" s="261">
        <v>176283155.16</v>
      </c>
      <c r="G618" s="261">
        <f t="shared" si="246"/>
        <v>176283155.16</v>
      </c>
      <c r="H618" s="261">
        <v>0</v>
      </c>
      <c r="I618" s="261">
        <v>176283155.16</v>
      </c>
      <c r="J618" s="261">
        <f t="shared" si="247"/>
        <v>0</v>
      </c>
      <c r="K618" s="261">
        <v>0</v>
      </c>
      <c r="L618" s="261">
        <v>0</v>
      </c>
      <c r="M618" s="261">
        <v>176283155.16</v>
      </c>
      <c r="N618" s="261">
        <v>0</v>
      </c>
      <c r="O618" s="261">
        <v>176283155.16</v>
      </c>
      <c r="P618" s="261">
        <v>176283155.16</v>
      </c>
      <c r="Q618" s="261">
        <f t="shared" si="248"/>
        <v>0</v>
      </c>
      <c r="R618" s="261">
        <f t="shared" ref="R618" si="249">+L618</f>
        <v>0</v>
      </c>
      <c r="S618" s="261">
        <v>0</v>
      </c>
      <c r="T618" s="261">
        <v>0</v>
      </c>
      <c r="U618" s="261">
        <v>10000000</v>
      </c>
      <c r="V618" s="261">
        <v>10000000</v>
      </c>
      <c r="W618" s="261">
        <v>0</v>
      </c>
      <c r="X618" s="261">
        <v>0</v>
      </c>
      <c r="Y618" s="261">
        <v>176283155.16</v>
      </c>
      <c r="Z618" s="261">
        <v>176283155.16</v>
      </c>
      <c r="AA618" s="261">
        <v>0</v>
      </c>
      <c r="AB618" s="261">
        <v>176283155.16</v>
      </c>
      <c r="AC618" s="261">
        <v>0</v>
      </c>
      <c r="AD618" s="261">
        <v>0</v>
      </c>
      <c r="AE618" s="261">
        <v>0</v>
      </c>
      <c r="AF618" s="261">
        <v>176283155.16</v>
      </c>
      <c r="AG618" s="261">
        <v>0</v>
      </c>
      <c r="AH618" s="261">
        <v>176283155.16</v>
      </c>
      <c r="AI618" s="261">
        <v>0</v>
      </c>
      <c r="AJ618" s="261">
        <v>0</v>
      </c>
      <c r="AK618" s="261">
        <v>0</v>
      </c>
      <c r="AL618" s="261">
        <v>0</v>
      </c>
      <c r="AM618" s="261">
        <v>10000000</v>
      </c>
      <c r="AN618" s="261">
        <v>10000000</v>
      </c>
      <c r="AO618" s="261">
        <v>0</v>
      </c>
      <c r="AP618" s="261">
        <v>0</v>
      </c>
      <c r="AQ618" s="261"/>
      <c r="AS618" s="261"/>
    </row>
    <row r="620" spans="1:45" x14ac:dyDescent="0.25">
      <c r="D620" s="269" t="s">
        <v>1350</v>
      </c>
      <c r="E620" s="269"/>
      <c r="F620" s="269"/>
      <c r="G620" s="269"/>
      <c r="H620" s="269"/>
      <c r="I620" s="269"/>
    </row>
    <row r="621" spans="1:45" x14ac:dyDescent="0.25">
      <c r="A621" s="207"/>
      <c r="B621" s="208"/>
      <c r="C621" s="209">
        <f>+C622-C624</f>
        <v>0</v>
      </c>
      <c r="D621" s="269"/>
      <c r="E621" s="269"/>
      <c r="F621" s="269"/>
      <c r="G621" s="269"/>
      <c r="H621" s="269"/>
      <c r="I621" s="269"/>
      <c r="J621" s="209">
        <f t="shared" ref="J621:R621" si="250">+J622-J624</f>
        <v>0</v>
      </c>
      <c r="K621" s="209">
        <f t="shared" si="250"/>
        <v>0</v>
      </c>
      <c r="L621" s="209">
        <f t="shared" si="250"/>
        <v>0</v>
      </c>
      <c r="M621" s="209">
        <f t="shared" si="250"/>
        <v>-1141477052.9200096</v>
      </c>
      <c r="N621" s="209">
        <f t="shared" si="250"/>
        <v>0</v>
      </c>
      <c r="O621" s="209">
        <f t="shared" si="250"/>
        <v>0</v>
      </c>
      <c r="P621" s="209">
        <f t="shared" si="250"/>
        <v>-2365487227.3699837</v>
      </c>
      <c r="Q621" s="209">
        <f t="shared" si="250"/>
        <v>0</v>
      </c>
      <c r="R621" s="209">
        <f t="shared" si="250"/>
        <v>-37857869</v>
      </c>
      <c r="AQ621" s="209"/>
      <c r="AS621" s="209"/>
    </row>
    <row r="622" spans="1:45" x14ac:dyDescent="0.25">
      <c r="A622" s="207"/>
      <c r="B622" s="208"/>
      <c r="C622" s="209">
        <f t="shared" ref="C622:R622" si="251">+C8</f>
        <v>145638571781</v>
      </c>
      <c r="D622" s="209">
        <f t="shared" si="251"/>
        <v>2586225586</v>
      </c>
      <c r="E622" s="209">
        <f t="shared" si="251"/>
        <v>2586225586</v>
      </c>
      <c r="F622" s="209">
        <f t="shared" si="251"/>
        <v>33233106865.73</v>
      </c>
      <c r="G622" s="209">
        <f t="shared" si="251"/>
        <v>178871678646.72998</v>
      </c>
      <c r="H622" s="209">
        <f t="shared" si="251"/>
        <v>24815028006.080002</v>
      </c>
      <c r="I622" s="209">
        <f t="shared" si="251"/>
        <v>81127467994.600006</v>
      </c>
      <c r="J622" s="209">
        <f t="shared" si="251"/>
        <v>97744210652.129974</v>
      </c>
      <c r="K622" s="209">
        <f t="shared" si="251"/>
        <v>11215235066.41</v>
      </c>
      <c r="L622" s="209">
        <f t="shared" si="251"/>
        <v>55147760864.479996</v>
      </c>
      <c r="M622" s="209">
        <f t="shared" si="251"/>
        <v>24838230077.200001</v>
      </c>
      <c r="N622" s="209">
        <f t="shared" si="251"/>
        <v>12946845340.640001</v>
      </c>
      <c r="O622" s="209">
        <f t="shared" si="251"/>
        <v>97698266119.23999</v>
      </c>
      <c r="P622" s="209">
        <f t="shared" si="251"/>
        <v>14205310897.27</v>
      </c>
      <c r="Q622" s="209">
        <f t="shared" si="251"/>
        <v>81173412527.48999</v>
      </c>
      <c r="R622" s="209">
        <f t="shared" si="251"/>
        <v>54678367432.739998</v>
      </c>
      <c r="AQ622" s="209"/>
      <c r="AS622" s="209"/>
    </row>
    <row r="623" spans="1:45" s="208" customFormat="1" ht="26.25" x14ac:dyDescent="0.25">
      <c r="A623" s="210"/>
      <c r="B623" s="211" t="s">
        <v>1</v>
      </c>
      <c r="C623" s="212" t="s">
        <v>2</v>
      </c>
      <c r="D623" s="212" t="s">
        <v>3</v>
      </c>
      <c r="E623" s="212" t="s">
        <v>4</v>
      </c>
      <c r="F623" s="212" t="s">
        <v>6</v>
      </c>
      <c r="G623" s="212" t="s">
        <v>1182</v>
      </c>
      <c r="H623" s="212" t="s">
        <v>717</v>
      </c>
      <c r="I623" s="212" t="s">
        <v>718</v>
      </c>
      <c r="J623" s="212" t="s">
        <v>719</v>
      </c>
      <c r="K623" s="212" t="s">
        <v>720</v>
      </c>
      <c r="L623" s="212" t="s">
        <v>721</v>
      </c>
      <c r="M623" s="212" t="s">
        <v>1127</v>
      </c>
      <c r="N623" s="212" t="s">
        <v>1183</v>
      </c>
      <c r="O623" s="212" t="s">
        <v>724</v>
      </c>
      <c r="P623" s="212" t="s">
        <v>1184</v>
      </c>
      <c r="Q623" s="212" t="s">
        <v>726</v>
      </c>
      <c r="R623" s="212" t="s">
        <v>1185</v>
      </c>
      <c r="T623" s="207"/>
      <c r="AQ623" s="212"/>
      <c r="AS623" s="212"/>
    </row>
    <row r="624" spans="1:45" x14ac:dyDescent="0.25">
      <c r="A624" s="213"/>
      <c r="B624" s="214" t="s">
        <v>1186</v>
      </c>
      <c r="C624" s="215">
        <f>+C625+C644</f>
        <v>145638571781</v>
      </c>
      <c r="D624" s="215">
        <f>+D625+D644</f>
        <v>2586225586</v>
      </c>
      <c r="E624" s="215">
        <f>+E625+E644</f>
        <v>2586225586</v>
      </c>
      <c r="F624" s="215">
        <f>+F625+F644</f>
        <v>33233106865.73</v>
      </c>
      <c r="G624" s="215">
        <f>+C624+D624-E624+F624</f>
        <v>178871678646.73001</v>
      </c>
      <c r="H624" s="215">
        <f>+H625+H644</f>
        <v>24815028006.080002</v>
      </c>
      <c r="I624" s="215">
        <f>+I625+I644</f>
        <v>81127467994.600006</v>
      </c>
      <c r="J624" s="215">
        <f>+G624-I624</f>
        <v>97744210652.130005</v>
      </c>
      <c r="K624" s="215">
        <f>+K625+K644</f>
        <v>11215235066.41</v>
      </c>
      <c r="L624" s="215">
        <f>+L625+L644</f>
        <v>55147760864.479996</v>
      </c>
      <c r="M624" s="215">
        <f>+I624-L624</f>
        <v>25979707130.12001</v>
      </c>
      <c r="N624" s="215">
        <f>+N625+N644</f>
        <v>12946845340.640001</v>
      </c>
      <c r="O624" s="215">
        <f>+O625+O644</f>
        <v>97698266119.23999</v>
      </c>
      <c r="P624" s="215">
        <f>+O624-I624</f>
        <v>16570798124.639984</v>
      </c>
      <c r="Q624" s="215">
        <f>+G624-O624</f>
        <v>81173412527.490021</v>
      </c>
      <c r="R624" s="215">
        <f>+R625+R644</f>
        <v>54716225301.739998</v>
      </c>
      <c r="AQ624" s="215"/>
      <c r="AS624" s="215"/>
    </row>
    <row r="625" spans="1:45" x14ac:dyDescent="0.25">
      <c r="A625" s="213"/>
      <c r="B625" s="214" t="s">
        <v>1187</v>
      </c>
      <c r="C625" s="216">
        <f>+C626+C629+C643</f>
        <v>131006848881</v>
      </c>
      <c r="D625" s="216">
        <f>+D626+D629+D643</f>
        <v>1894032905</v>
      </c>
      <c r="E625" s="216">
        <f>+E626+E629+E643</f>
        <v>2381757905</v>
      </c>
      <c r="F625" s="216">
        <f>+F626+F629+F643</f>
        <v>2700000000</v>
      </c>
      <c r="G625" s="216">
        <f t="shared" ref="G625:G670" si="252">+C625+D625-E625+F625</f>
        <v>133219123881</v>
      </c>
      <c r="H625" s="216">
        <f>+H626+H629+H643</f>
        <v>21225429572.09</v>
      </c>
      <c r="I625" s="216">
        <f>+I626+I629+I643</f>
        <v>68542192614.32</v>
      </c>
      <c r="J625" s="216">
        <f>+G625-I625</f>
        <v>64676931266.68</v>
      </c>
      <c r="K625" s="216">
        <f>+K626+K629+K643</f>
        <v>9874711730.4099998</v>
      </c>
      <c r="L625" s="216">
        <f>+L626+L629+L643</f>
        <v>50331412712.389999</v>
      </c>
      <c r="M625" s="216">
        <f t="shared" ref="M625:M670" si="253">+I625-L625</f>
        <v>18210779901.93</v>
      </c>
      <c r="N625" s="216">
        <f>+N626+N629+N643</f>
        <v>8607789794.3600006</v>
      </c>
      <c r="O625" s="216">
        <f>+O626+O629+O643</f>
        <v>76410768174.939987</v>
      </c>
      <c r="P625" s="216">
        <f t="shared" ref="P625:P670" si="254">+O625-I625</f>
        <v>7868575560.6199875</v>
      </c>
      <c r="Q625" s="216">
        <f t="shared" ref="Q625:Q670" si="255">+G625-O625</f>
        <v>56808355706.060013</v>
      </c>
      <c r="R625" s="216">
        <f>+R626+R629+R643</f>
        <v>50331412712.389999</v>
      </c>
      <c r="AQ625" s="216"/>
      <c r="AS625" s="216"/>
    </row>
    <row r="626" spans="1:45" x14ac:dyDescent="0.25">
      <c r="A626" s="217"/>
      <c r="B626" s="218" t="s">
        <v>10</v>
      </c>
      <c r="C626" s="219">
        <f>+C627+C628</f>
        <v>119433039381</v>
      </c>
      <c r="D626" s="219">
        <f>+D627+D628</f>
        <v>0</v>
      </c>
      <c r="E626" s="219">
        <f>+E627+E628</f>
        <v>1044032905</v>
      </c>
      <c r="F626" s="219">
        <f>+F627+F628</f>
        <v>900000000</v>
      </c>
      <c r="G626" s="219">
        <f t="shared" si="252"/>
        <v>119289006476</v>
      </c>
      <c r="H626" s="219">
        <f>+H627+H628</f>
        <v>19905828610</v>
      </c>
      <c r="I626" s="219">
        <f>+I627+I628</f>
        <v>61141610109.199997</v>
      </c>
      <c r="J626" s="219">
        <f>+G626-I626</f>
        <v>58147396366.800003</v>
      </c>
      <c r="K626" s="219">
        <f>+K627+K628</f>
        <v>9091316160</v>
      </c>
      <c r="L626" s="219">
        <f>+L627+L628</f>
        <v>46940031760</v>
      </c>
      <c r="M626" s="219">
        <f t="shared" si="253"/>
        <v>14201578349.199997</v>
      </c>
      <c r="N626" s="219">
        <f>+N627+N628</f>
        <v>7113165876</v>
      </c>
      <c r="O626" s="219">
        <f>+O627+O628</f>
        <v>65186761904.199997</v>
      </c>
      <c r="P626" s="219">
        <f t="shared" si="254"/>
        <v>4045151795</v>
      </c>
      <c r="Q626" s="219">
        <f t="shared" si="255"/>
        <v>54102244571.800003</v>
      </c>
      <c r="R626" s="219">
        <f>+R627+R628</f>
        <v>46940031760</v>
      </c>
      <c r="AQ626" s="219"/>
      <c r="AS626" s="219"/>
    </row>
    <row r="627" spans="1:45" x14ac:dyDescent="0.25">
      <c r="A627" s="220"/>
      <c r="B627" s="221" t="s">
        <v>12</v>
      </c>
      <c r="C627" s="222">
        <f>+C10</f>
        <v>86037737402</v>
      </c>
      <c r="D627" s="222">
        <f>+D10</f>
        <v>0</v>
      </c>
      <c r="E627" s="222">
        <f>+E10</f>
        <v>1044032905</v>
      </c>
      <c r="F627" s="222">
        <f>+F10</f>
        <v>0</v>
      </c>
      <c r="G627" s="222">
        <f t="shared" si="252"/>
        <v>84993704497</v>
      </c>
      <c r="H627" s="222">
        <f>+H10</f>
        <v>6160638336</v>
      </c>
      <c r="I627" s="222">
        <f>+I10</f>
        <v>33934107819</v>
      </c>
      <c r="J627" s="222">
        <f>+G627-I627</f>
        <v>51059596678</v>
      </c>
      <c r="K627" s="222">
        <f>+K10</f>
        <v>6154766400</v>
      </c>
      <c r="L627" s="222">
        <f>+L10</f>
        <v>33928235883</v>
      </c>
      <c r="M627" s="222">
        <f t="shared" si="253"/>
        <v>5871936</v>
      </c>
      <c r="N627" s="222">
        <f>+N10</f>
        <v>6160488336</v>
      </c>
      <c r="O627" s="222">
        <f>+O10</f>
        <v>33960551560</v>
      </c>
      <c r="P627" s="222">
        <f t="shared" si="254"/>
        <v>26443741</v>
      </c>
      <c r="Q627" s="222">
        <f t="shared" si="255"/>
        <v>51033152937</v>
      </c>
      <c r="R627" s="222">
        <f>+R10</f>
        <v>33928235883</v>
      </c>
      <c r="AQ627" s="222"/>
      <c r="AS627" s="222"/>
    </row>
    <row r="628" spans="1:45" x14ac:dyDescent="0.25">
      <c r="A628" s="220"/>
      <c r="B628" s="221" t="s">
        <v>1188</v>
      </c>
      <c r="C628" s="222">
        <f>+C46</f>
        <v>33395301979</v>
      </c>
      <c r="D628" s="222">
        <f>+D46</f>
        <v>0</v>
      </c>
      <c r="E628" s="222">
        <f>+E46</f>
        <v>0</v>
      </c>
      <c r="F628" s="222">
        <f>+F46</f>
        <v>900000000</v>
      </c>
      <c r="G628" s="222">
        <f t="shared" si="252"/>
        <v>34295301979</v>
      </c>
      <c r="H628" s="222">
        <f>+H46</f>
        <v>13745190274</v>
      </c>
      <c r="I628" s="222">
        <f>+I46</f>
        <v>27207502290.200001</v>
      </c>
      <c r="J628" s="222">
        <f>+G628-I628</f>
        <v>7087799688.7999992</v>
      </c>
      <c r="K628" s="222">
        <f>+K46</f>
        <v>2936549760</v>
      </c>
      <c r="L628" s="222">
        <f>+L46</f>
        <v>13011795877</v>
      </c>
      <c r="M628" s="222">
        <f t="shared" si="253"/>
        <v>14195706413.200001</v>
      </c>
      <c r="N628" s="222">
        <f>+N46</f>
        <v>952677540</v>
      </c>
      <c r="O628" s="222">
        <f>+O46</f>
        <v>31226210344.200001</v>
      </c>
      <c r="P628" s="222">
        <f t="shared" si="254"/>
        <v>4018708054</v>
      </c>
      <c r="Q628" s="222">
        <f t="shared" si="255"/>
        <v>3069091634.7999992</v>
      </c>
      <c r="R628" s="222">
        <f>+R46</f>
        <v>13011795877</v>
      </c>
      <c r="AQ628" s="222"/>
      <c r="AS628" s="222"/>
    </row>
    <row r="629" spans="1:45" x14ac:dyDescent="0.25">
      <c r="A629" s="217"/>
      <c r="B629" s="218" t="s">
        <v>1189</v>
      </c>
      <c r="C629" s="219">
        <f>SUM(C630:C642)</f>
        <v>10833689226</v>
      </c>
      <c r="D629" s="219">
        <f>SUM(D630:D642)</f>
        <v>1894032905</v>
      </c>
      <c r="E629" s="219">
        <f>SUM(E630:E642)</f>
        <v>1337725000</v>
      </c>
      <c r="F629" s="219">
        <f>SUM(F630:F642)</f>
        <v>1800000000</v>
      </c>
      <c r="G629" s="219">
        <f t="shared" si="252"/>
        <v>13189997131</v>
      </c>
      <c r="H629" s="219">
        <f>SUM(H630:H642)</f>
        <v>1257550841.3299999</v>
      </c>
      <c r="I629" s="219">
        <f>SUM(I630:I642)</f>
        <v>6845222300.3600006</v>
      </c>
      <c r="J629" s="219">
        <f t="shared" ref="J629:J670" si="256">+G629-I629</f>
        <v>6344774830.6399994</v>
      </c>
      <c r="K629" s="219">
        <f>SUM(K630:K642)</f>
        <v>747045836.64999998</v>
      </c>
      <c r="L629" s="219">
        <f>SUM(L630:L642)</f>
        <v>2860652871.6300006</v>
      </c>
      <c r="M629" s="219">
        <f t="shared" si="253"/>
        <v>3984569428.73</v>
      </c>
      <c r="N629" s="219">
        <f>SUM(N630:N642)</f>
        <v>1432073797.5999999</v>
      </c>
      <c r="O629" s="219">
        <f>SUM(O630:O642)</f>
        <v>10666807231.98</v>
      </c>
      <c r="P629" s="219">
        <f t="shared" si="254"/>
        <v>3821584931.6199989</v>
      </c>
      <c r="Q629" s="219">
        <f t="shared" si="255"/>
        <v>2523189899.0200005</v>
      </c>
      <c r="R629" s="219">
        <f>SUM(R630:R642)</f>
        <v>2860652871.6300006</v>
      </c>
      <c r="AQ629" s="219"/>
      <c r="AS629" s="219"/>
    </row>
    <row r="630" spans="1:45" x14ac:dyDescent="0.25">
      <c r="A630" s="220"/>
      <c r="B630" s="221" t="s">
        <v>1190</v>
      </c>
      <c r="C630" s="222">
        <f>+C76+C117</f>
        <v>2371987400</v>
      </c>
      <c r="D630" s="222">
        <f>+D76+D117</f>
        <v>11000000</v>
      </c>
      <c r="E630" s="222">
        <f>+E76+E117</f>
        <v>1252725000</v>
      </c>
      <c r="F630" s="222">
        <f>+F76+F117</f>
        <v>1800000000</v>
      </c>
      <c r="G630" s="222">
        <f t="shared" si="252"/>
        <v>2930262400</v>
      </c>
      <c r="H630" s="222">
        <f>+H76+H117</f>
        <v>404064351</v>
      </c>
      <c r="I630" s="222">
        <f>+I76+I117</f>
        <v>983699325.21000004</v>
      </c>
      <c r="J630" s="222">
        <f t="shared" si="256"/>
        <v>1946563074.79</v>
      </c>
      <c r="K630" s="222">
        <f>+K76+K117</f>
        <v>84351664.700000003</v>
      </c>
      <c r="L630" s="222">
        <f>+L76+L117</f>
        <v>385550435.90999997</v>
      </c>
      <c r="M630" s="222">
        <f t="shared" si="253"/>
        <v>598148889.30000007</v>
      </c>
      <c r="N630" s="222">
        <f>+N76+N117</f>
        <v>112946351</v>
      </c>
      <c r="O630" s="222">
        <f>+O76+O117</f>
        <v>1878049860.21</v>
      </c>
      <c r="P630" s="222">
        <f t="shared" si="254"/>
        <v>894350535</v>
      </c>
      <c r="Q630" s="222">
        <f t="shared" si="255"/>
        <v>1052212539.79</v>
      </c>
      <c r="R630" s="222">
        <f>+R76+R117</f>
        <v>385550435.90999997</v>
      </c>
      <c r="AQ630" s="222"/>
      <c r="AS630" s="222"/>
    </row>
    <row r="631" spans="1:45" x14ac:dyDescent="0.25">
      <c r="A631" s="220"/>
      <c r="B631" s="221" t="s">
        <v>1191</v>
      </c>
      <c r="C631" s="222">
        <f>+C220+C249</f>
        <v>1363223292</v>
      </c>
      <c r="D631" s="222">
        <f>+D220+D249</f>
        <v>0</v>
      </c>
      <c r="E631" s="222">
        <f>+E220+E249</f>
        <v>0</v>
      </c>
      <c r="F631" s="222">
        <f>+F220+F249</f>
        <v>0</v>
      </c>
      <c r="G631" s="222">
        <f t="shared" si="252"/>
        <v>1363223292</v>
      </c>
      <c r="H631" s="222">
        <f>+H220+H249</f>
        <v>86399163</v>
      </c>
      <c r="I631" s="222">
        <f>+I220+I249</f>
        <v>592600711.45000005</v>
      </c>
      <c r="J631" s="222">
        <f t="shared" si="256"/>
        <v>770622580.54999995</v>
      </c>
      <c r="K631" s="222">
        <f>+K220+K249</f>
        <v>92975815</v>
      </c>
      <c r="L631" s="222">
        <f>+L220+L249</f>
        <v>544484301.45000005</v>
      </c>
      <c r="M631" s="222">
        <f t="shared" si="253"/>
        <v>48116410</v>
      </c>
      <c r="N631" s="222">
        <f>+N220+N249</f>
        <v>72177983</v>
      </c>
      <c r="O631" s="222">
        <f>+O220+O249</f>
        <v>647660073.45000005</v>
      </c>
      <c r="P631" s="222">
        <f t="shared" si="254"/>
        <v>55059362</v>
      </c>
      <c r="Q631" s="222">
        <f t="shared" si="255"/>
        <v>715563218.54999995</v>
      </c>
      <c r="R631" s="222">
        <f>+R220+R249</f>
        <v>544484301.45000005</v>
      </c>
      <c r="AQ631" s="222"/>
      <c r="AS631" s="222"/>
    </row>
    <row r="632" spans="1:45" x14ac:dyDescent="0.25">
      <c r="A632" s="220"/>
      <c r="B632" s="221" t="s">
        <v>1192</v>
      </c>
      <c r="C632" s="222">
        <f>+C268+C247</f>
        <v>193925355</v>
      </c>
      <c r="D632" s="222">
        <f>+D268+D247</f>
        <v>75000000</v>
      </c>
      <c r="E632" s="222">
        <f>+E268+E247</f>
        <v>0</v>
      </c>
      <c r="F632" s="222">
        <f>+F268+F247</f>
        <v>0</v>
      </c>
      <c r="G632" s="222">
        <f t="shared" si="252"/>
        <v>268925355</v>
      </c>
      <c r="H632" s="222">
        <f>+H268+H247</f>
        <v>53459662</v>
      </c>
      <c r="I632" s="222">
        <f>+I268+I247</f>
        <v>185885133</v>
      </c>
      <c r="J632" s="222">
        <f t="shared" si="256"/>
        <v>83040222</v>
      </c>
      <c r="K632" s="222">
        <f>+K268+K247</f>
        <v>15000000</v>
      </c>
      <c r="L632" s="222">
        <f>+L268+L247</f>
        <v>105418900</v>
      </c>
      <c r="M632" s="222">
        <f t="shared" si="253"/>
        <v>80466233</v>
      </c>
      <c r="N632" s="222">
        <f>+N268+N247</f>
        <v>1960800</v>
      </c>
      <c r="O632" s="222">
        <f>+O268+O247</f>
        <v>260158800</v>
      </c>
      <c r="P632" s="222">
        <f t="shared" si="254"/>
        <v>74273667</v>
      </c>
      <c r="Q632" s="222">
        <f t="shared" si="255"/>
        <v>8766555</v>
      </c>
      <c r="R632" s="222">
        <f>+R268+R247</f>
        <v>105418900</v>
      </c>
      <c r="AQ632" s="222"/>
      <c r="AS632" s="222"/>
    </row>
    <row r="633" spans="1:45" x14ac:dyDescent="0.25">
      <c r="A633" s="220"/>
      <c r="B633" s="221" t="s">
        <v>1193</v>
      </c>
      <c r="C633" s="222">
        <f>+C280</f>
        <v>193318652</v>
      </c>
      <c r="D633" s="222">
        <f>+D280</f>
        <v>100000000</v>
      </c>
      <c r="E633" s="222">
        <f>+E280</f>
        <v>0</v>
      </c>
      <c r="F633" s="222">
        <f>+F280</f>
        <v>0</v>
      </c>
      <c r="G633" s="222">
        <f t="shared" si="252"/>
        <v>293318652</v>
      </c>
      <c r="H633" s="222">
        <f>+H280</f>
        <v>61498565</v>
      </c>
      <c r="I633" s="222">
        <f>+I280</f>
        <v>200288974</v>
      </c>
      <c r="J633" s="222">
        <f t="shared" si="256"/>
        <v>93029678</v>
      </c>
      <c r="K633" s="222">
        <f>+K280</f>
        <v>54370902</v>
      </c>
      <c r="L633" s="222">
        <f>+L280</f>
        <v>187130031</v>
      </c>
      <c r="M633" s="222">
        <f t="shared" si="253"/>
        <v>13158943</v>
      </c>
      <c r="N633" s="222">
        <f>+N280</f>
        <v>60741297</v>
      </c>
      <c r="O633" s="222">
        <f>+O280</f>
        <v>210290625</v>
      </c>
      <c r="P633" s="222">
        <f t="shared" si="254"/>
        <v>10001651</v>
      </c>
      <c r="Q633" s="222">
        <f t="shared" si="255"/>
        <v>83028027</v>
      </c>
      <c r="R633" s="222">
        <f>+R280</f>
        <v>187130031</v>
      </c>
      <c r="AQ633" s="222"/>
      <c r="AS633" s="222"/>
    </row>
    <row r="634" spans="1:45" x14ac:dyDescent="0.25">
      <c r="A634" s="220"/>
      <c r="B634" s="221" t="s">
        <v>1194</v>
      </c>
      <c r="C634" s="222">
        <f>+C257</f>
        <v>264949395</v>
      </c>
      <c r="D634" s="222">
        <f>+D257</f>
        <v>90000000</v>
      </c>
      <c r="E634" s="222">
        <f>+E257</f>
        <v>0</v>
      </c>
      <c r="F634" s="222">
        <f>+F257</f>
        <v>0</v>
      </c>
      <c r="G634" s="222">
        <f t="shared" si="252"/>
        <v>354949395</v>
      </c>
      <c r="H634" s="222">
        <f>+H257</f>
        <v>1900000</v>
      </c>
      <c r="I634" s="222">
        <f>+I257</f>
        <v>99019850</v>
      </c>
      <c r="J634" s="222">
        <f t="shared" si="256"/>
        <v>255929545</v>
      </c>
      <c r="K634" s="222">
        <f>+K257</f>
        <v>900000</v>
      </c>
      <c r="L634" s="222">
        <f>+L257</f>
        <v>72781523</v>
      </c>
      <c r="M634" s="222">
        <f t="shared" si="253"/>
        <v>26238327</v>
      </c>
      <c r="N634" s="222">
        <f>+N257</f>
        <v>9200000</v>
      </c>
      <c r="O634" s="222">
        <f>+O257</f>
        <v>176491750</v>
      </c>
      <c r="P634" s="222">
        <f t="shared" si="254"/>
        <v>77471900</v>
      </c>
      <c r="Q634" s="222">
        <f t="shared" si="255"/>
        <v>178457645</v>
      </c>
      <c r="R634" s="222">
        <f>+R257</f>
        <v>72781523</v>
      </c>
      <c r="AQ634" s="222"/>
      <c r="AS634" s="222"/>
    </row>
    <row r="635" spans="1:45" x14ac:dyDescent="0.25">
      <c r="A635" s="220"/>
      <c r="B635" s="221" t="s">
        <v>1195</v>
      </c>
      <c r="C635" s="222">
        <f>+C274+C273+C272+C242+C245+C246+C248</f>
        <v>2884764206</v>
      </c>
      <c r="D635" s="222">
        <f>+D274+D273+D272+D242+D245+D246+D248</f>
        <v>761500000</v>
      </c>
      <c r="E635" s="222">
        <f>+E274+E273+E272+E242+E245+E246+E248</f>
        <v>0</v>
      </c>
      <c r="F635" s="222">
        <f>+F274+F273+F272+F242+F245+F246+F248</f>
        <v>0</v>
      </c>
      <c r="G635" s="222">
        <f t="shared" si="252"/>
        <v>3646264206</v>
      </c>
      <c r="H635" s="222">
        <f>+H274+H273+H272+H242+H245+H246+H248</f>
        <v>242169242</v>
      </c>
      <c r="I635" s="222">
        <f>+I274+I273+I272+I242+I245+I246+I248</f>
        <v>2618602416.0500002</v>
      </c>
      <c r="J635" s="222">
        <f t="shared" si="256"/>
        <v>1027661789.9499998</v>
      </c>
      <c r="K635" s="222">
        <f>+K274+K273+K272+K242+K245+K246+K248</f>
        <v>454752482.13</v>
      </c>
      <c r="L635" s="222">
        <f>+L274+L273+L272+L242+L245+L246+L248</f>
        <v>1234695626.1300001</v>
      </c>
      <c r="M635" s="222">
        <f t="shared" si="253"/>
        <v>1383906789.9200001</v>
      </c>
      <c r="N635" s="222">
        <f>+N274+N273+N272+N242+N245+N246+N248</f>
        <v>86975611</v>
      </c>
      <c r="O635" s="222">
        <f>+O274+O273+O272+O242+O245+O246+O248</f>
        <v>3363754593</v>
      </c>
      <c r="P635" s="222">
        <f t="shared" si="254"/>
        <v>745152176.94999981</v>
      </c>
      <c r="Q635" s="222">
        <f t="shared" si="255"/>
        <v>282509613</v>
      </c>
      <c r="R635" s="222">
        <f>+R274+R273+R272+R242+R245+R246+R248</f>
        <v>1234695626.1300001</v>
      </c>
      <c r="AQ635" s="222"/>
      <c r="AS635" s="222"/>
    </row>
    <row r="636" spans="1:45" x14ac:dyDescent="0.25">
      <c r="A636" s="220"/>
      <c r="B636" s="221" t="s">
        <v>1196</v>
      </c>
      <c r="C636" s="222">
        <f>+C227</f>
        <v>1261534659</v>
      </c>
      <c r="D636" s="222">
        <f>+D227</f>
        <v>60000000</v>
      </c>
      <c r="E636" s="222">
        <f>+E227</f>
        <v>0</v>
      </c>
      <c r="F636" s="222">
        <f>+F227</f>
        <v>0</v>
      </c>
      <c r="G636" s="222">
        <f t="shared" si="252"/>
        <v>1321534659</v>
      </c>
      <c r="H636" s="222">
        <f>+H227</f>
        <v>0</v>
      </c>
      <c r="I636" s="222">
        <f>+I227</f>
        <v>231860920</v>
      </c>
      <c r="J636" s="222">
        <f t="shared" si="256"/>
        <v>1089673739</v>
      </c>
      <c r="K636" s="222">
        <f>+K227</f>
        <v>0</v>
      </c>
      <c r="L636" s="222">
        <f>+L227</f>
        <v>179989991</v>
      </c>
      <c r="M636" s="222">
        <f t="shared" si="253"/>
        <v>51870929</v>
      </c>
      <c r="N636" s="222">
        <f>+N227</f>
        <v>1081789228</v>
      </c>
      <c r="O636" s="222">
        <f>+O227</f>
        <v>1318834659</v>
      </c>
      <c r="P636" s="222">
        <f t="shared" si="254"/>
        <v>1086973739</v>
      </c>
      <c r="Q636" s="222">
        <f t="shared" si="255"/>
        <v>2700000</v>
      </c>
      <c r="R636" s="222">
        <f>+R227</f>
        <v>179989991</v>
      </c>
      <c r="AQ636" s="222"/>
      <c r="AS636" s="222"/>
    </row>
    <row r="637" spans="1:45" x14ac:dyDescent="0.25">
      <c r="A637" s="220"/>
      <c r="B637" s="221" t="s">
        <v>1197</v>
      </c>
      <c r="C637" s="222">
        <f>+C252</f>
        <v>706629000</v>
      </c>
      <c r="D637" s="222">
        <f>+D252</f>
        <v>0</v>
      </c>
      <c r="E637" s="222">
        <f>+E252</f>
        <v>0</v>
      </c>
      <c r="F637" s="222">
        <f>+F252</f>
        <v>0</v>
      </c>
      <c r="G637" s="222">
        <f t="shared" si="252"/>
        <v>706629000</v>
      </c>
      <c r="H637" s="222">
        <f>+H252</f>
        <v>0</v>
      </c>
      <c r="I637" s="222">
        <f>+I252</f>
        <v>646893416</v>
      </c>
      <c r="J637" s="222">
        <f t="shared" si="256"/>
        <v>59735584</v>
      </c>
      <c r="K637" s="222">
        <f>+K252</f>
        <v>0</v>
      </c>
      <c r="L637" s="222">
        <f>+L252</f>
        <v>6915966</v>
      </c>
      <c r="M637" s="222">
        <f t="shared" si="253"/>
        <v>639977450</v>
      </c>
      <c r="N637" s="222">
        <f>+N252</f>
        <v>0</v>
      </c>
      <c r="O637" s="222">
        <f>+O252</f>
        <v>706629000</v>
      </c>
      <c r="P637" s="222">
        <f t="shared" si="254"/>
        <v>59735584</v>
      </c>
      <c r="Q637" s="222">
        <f t="shared" si="255"/>
        <v>0</v>
      </c>
      <c r="R637" s="222">
        <f>+R252</f>
        <v>6915966</v>
      </c>
      <c r="AQ637" s="222"/>
      <c r="AS637" s="222"/>
    </row>
    <row r="638" spans="1:45" x14ac:dyDescent="0.25">
      <c r="A638" s="220"/>
      <c r="B638" s="221" t="s">
        <v>1198</v>
      </c>
      <c r="C638" s="222">
        <f>+C233+C238</f>
        <v>1070341041</v>
      </c>
      <c r="D638" s="222">
        <f>+D233+D238</f>
        <v>678532905</v>
      </c>
      <c r="E638" s="222">
        <f>+E233+E238</f>
        <v>0</v>
      </c>
      <c r="F638" s="222">
        <f>+F233+F238</f>
        <v>0</v>
      </c>
      <c r="G638" s="222">
        <f t="shared" si="252"/>
        <v>1748873946</v>
      </c>
      <c r="H638" s="222">
        <f>+H233+H238</f>
        <v>398399997</v>
      </c>
      <c r="I638" s="222">
        <f>+I233+I238</f>
        <v>1056914847.98</v>
      </c>
      <c r="J638" s="222">
        <f t="shared" si="256"/>
        <v>691959098.01999998</v>
      </c>
      <c r="K638" s="222">
        <f>+K233+K238</f>
        <v>27744302</v>
      </c>
      <c r="L638" s="222">
        <f>+L233+L238</f>
        <v>53298454.980000004</v>
      </c>
      <c r="M638" s="222">
        <f t="shared" si="253"/>
        <v>1003616393</v>
      </c>
      <c r="N638" s="222">
        <f>+N233+N238</f>
        <v>899997</v>
      </c>
      <c r="O638" s="222">
        <f>+O233+O238</f>
        <v>1742514903.98</v>
      </c>
      <c r="P638" s="222">
        <f t="shared" si="254"/>
        <v>685600056</v>
      </c>
      <c r="Q638" s="222">
        <f t="shared" si="255"/>
        <v>6359042.0199999809</v>
      </c>
      <c r="R638" s="222">
        <f>+R233+R238</f>
        <v>53298454.980000004</v>
      </c>
      <c r="AQ638" s="222"/>
      <c r="AS638" s="222"/>
    </row>
    <row r="639" spans="1:45" x14ac:dyDescent="0.25">
      <c r="A639" s="220"/>
      <c r="B639" s="221" t="s">
        <v>1199</v>
      </c>
      <c r="C639" s="222">
        <f>+C209</f>
        <v>104091432</v>
      </c>
      <c r="D639" s="222">
        <f>+D209</f>
        <v>36000000</v>
      </c>
      <c r="E639" s="222">
        <f>+E209</f>
        <v>0</v>
      </c>
      <c r="F639" s="222">
        <f>+F209</f>
        <v>0</v>
      </c>
      <c r="G639" s="222">
        <f t="shared" si="252"/>
        <v>140091432</v>
      </c>
      <c r="H639" s="222">
        <f>+H209</f>
        <v>180000</v>
      </c>
      <c r="I639" s="222">
        <f>+I209</f>
        <v>98110000</v>
      </c>
      <c r="J639" s="222">
        <f t="shared" si="256"/>
        <v>41981432</v>
      </c>
      <c r="K639" s="222">
        <f>+K209</f>
        <v>7625500.0899999999</v>
      </c>
      <c r="L639" s="222">
        <f>+L209</f>
        <v>22365060.09</v>
      </c>
      <c r="M639" s="222">
        <f t="shared" si="253"/>
        <v>75744939.909999996</v>
      </c>
      <c r="N639" s="222">
        <f>+N209</f>
        <v>180000</v>
      </c>
      <c r="O639" s="222">
        <f>+O209</f>
        <v>108110000</v>
      </c>
      <c r="P639" s="222">
        <f t="shared" si="254"/>
        <v>10000000</v>
      </c>
      <c r="Q639" s="222">
        <f t="shared" si="255"/>
        <v>31981432</v>
      </c>
      <c r="R639" s="222">
        <f>+R209</f>
        <v>22365060.09</v>
      </c>
      <c r="AQ639" s="222"/>
      <c r="AS639" s="222"/>
    </row>
    <row r="640" spans="1:45" x14ac:dyDescent="0.25">
      <c r="A640" s="220"/>
      <c r="B640" s="221" t="s">
        <v>1200</v>
      </c>
      <c r="C640" s="222">
        <f>+C214+C216+C217+C219</f>
        <v>181312145</v>
      </c>
      <c r="D640" s="222">
        <f>+D214+D216+D217+D219</f>
        <v>0</v>
      </c>
      <c r="E640" s="222">
        <f>+E214+E216+E217+E219</f>
        <v>85000000</v>
      </c>
      <c r="F640" s="222">
        <f>+F214+F216+F217+F219</f>
        <v>0</v>
      </c>
      <c r="G640" s="222">
        <f t="shared" si="252"/>
        <v>96312145</v>
      </c>
      <c r="H640" s="222">
        <f>+H214+H216+H217+H219</f>
        <v>1268000</v>
      </c>
      <c r="I640" s="222">
        <f>+I214+I216+I217+I219</f>
        <v>48044200</v>
      </c>
      <c r="J640" s="222">
        <f t="shared" si="256"/>
        <v>48267945</v>
      </c>
      <c r="K640" s="222">
        <f>+K214+K216+K217+K219</f>
        <v>1150000</v>
      </c>
      <c r="L640" s="222">
        <f>+L214+L216+L217+L219</f>
        <v>11926200</v>
      </c>
      <c r="M640" s="222">
        <f t="shared" si="253"/>
        <v>36118000</v>
      </c>
      <c r="N640" s="222">
        <f>+N214+N216+N217+N219</f>
        <v>1768000</v>
      </c>
      <c r="O640" s="222">
        <f>+O214+O216+O217+O219</f>
        <v>48544200</v>
      </c>
      <c r="P640" s="222">
        <f t="shared" si="254"/>
        <v>500000</v>
      </c>
      <c r="Q640" s="222">
        <f t="shared" si="255"/>
        <v>47767945</v>
      </c>
      <c r="R640" s="222">
        <f>+R214+R216+R217+R219</f>
        <v>11926200</v>
      </c>
      <c r="AQ640" s="222"/>
      <c r="AS640" s="222"/>
    </row>
    <row r="641" spans="1:45" x14ac:dyDescent="0.25">
      <c r="A641" s="220"/>
      <c r="B641" s="221" t="s">
        <v>1201</v>
      </c>
      <c r="C641" s="222">
        <f>+C225</f>
        <v>163534140</v>
      </c>
      <c r="D641" s="222">
        <f>+D225</f>
        <v>0</v>
      </c>
      <c r="E641" s="222">
        <f>+E225</f>
        <v>0</v>
      </c>
      <c r="F641" s="222">
        <f>+F225</f>
        <v>0</v>
      </c>
      <c r="G641" s="222">
        <f t="shared" si="252"/>
        <v>163534140</v>
      </c>
      <c r="H641" s="222">
        <f>+H225</f>
        <v>6114021.3300000001</v>
      </c>
      <c r="I641" s="222">
        <f>+I225</f>
        <v>55074124.670000002</v>
      </c>
      <c r="J641" s="222">
        <f t="shared" si="256"/>
        <v>108460015.33</v>
      </c>
      <c r="K641" s="222">
        <f>+K225</f>
        <v>6077330.7300000004</v>
      </c>
      <c r="L641" s="222">
        <f>+L225</f>
        <v>53748542.07</v>
      </c>
      <c r="M641" s="222">
        <f t="shared" si="253"/>
        <v>1325582.6000000015</v>
      </c>
      <c r="N641" s="222">
        <f>+N225</f>
        <v>536690.6</v>
      </c>
      <c r="O641" s="222">
        <f>+O225</f>
        <v>155720927.34</v>
      </c>
      <c r="P641" s="222">
        <f t="shared" si="254"/>
        <v>100646802.67</v>
      </c>
      <c r="Q641" s="222">
        <f t="shared" si="255"/>
        <v>7813212.6599999964</v>
      </c>
      <c r="R641" s="222">
        <f>+R225</f>
        <v>53748542.07</v>
      </c>
      <c r="AQ641" s="222"/>
      <c r="AS641" s="222"/>
    </row>
    <row r="642" spans="1:45" x14ac:dyDescent="0.25">
      <c r="A642" s="220"/>
      <c r="B642" s="221" t="s">
        <v>1202</v>
      </c>
      <c r="C642" s="222">
        <f>+C275+C254</f>
        <v>74078509</v>
      </c>
      <c r="D642" s="222">
        <f>+D275+D254+D278</f>
        <v>82000000</v>
      </c>
      <c r="E642" s="222">
        <f>+E275+E254+E278</f>
        <v>0</v>
      </c>
      <c r="F642" s="222">
        <f>+F275+F254+F278</f>
        <v>0</v>
      </c>
      <c r="G642" s="222">
        <f t="shared" si="252"/>
        <v>156078509</v>
      </c>
      <c r="H642" s="222">
        <f>+H275+H254+H278</f>
        <v>2097840</v>
      </c>
      <c r="I642" s="222">
        <f>+I275+I254+I278</f>
        <v>28228382</v>
      </c>
      <c r="J642" s="222">
        <f t="shared" si="256"/>
        <v>127850127</v>
      </c>
      <c r="K642" s="222">
        <f>+K275+K254+K278</f>
        <v>2097840</v>
      </c>
      <c r="L642" s="222">
        <f>+L275+L254+L278</f>
        <v>2347840</v>
      </c>
      <c r="M642" s="222">
        <f t="shared" si="253"/>
        <v>25880542</v>
      </c>
      <c r="N642" s="222">
        <f>+N275+N254+N278</f>
        <v>2897840</v>
      </c>
      <c r="O642" s="222">
        <f>+O275+O254+O278</f>
        <v>50047840</v>
      </c>
      <c r="P642" s="222">
        <f t="shared" si="254"/>
        <v>21819458</v>
      </c>
      <c r="Q642" s="222">
        <f t="shared" si="255"/>
        <v>106030669</v>
      </c>
      <c r="R642" s="222">
        <f>+R275+R254</f>
        <v>2347840</v>
      </c>
      <c r="AQ642" s="222"/>
      <c r="AS642" s="222"/>
    </row>
    <row r="643" spans="1:45" x14ac:dyDescent="0.25">
      <c r="A643" s="217"/>
      <c r="B643" s="218" t="s">
        <v>1203</v>
      </c>
      <c r="C643" s="219">
        <f>+C282+C291</f>
        <v>740120274</v>
      </c>
      <c r="D643" s="219">
        <f>+D282+D291</f>
        <v>0</v>
      </c>
      <c r="E643" s="219">
        <f>+E282+E291</f>
        <v>0</v>
      </c>
      <c r="F643" s="219">
        <f>+F282+F291</f>
        <v>0</v>
      </c>
      <c r="G643" s="219">
        <f t="shared" si="252"/>
        <v>740120274</v>
      </c>
      <c r="H643" s="219">
        <f>+H282+H291</f>
        <v>62050120.759999998</v>
      </c>
      <c r="I643" s="219">
        <f>+I282+I291</f>
        <v>555360204.75999999</v>
      </c>
      <c r="J643" s="219">
        <f t="shared" si="256"/>
        <v>184760069.24000001</v>
      </c>
      <c r="K643" s="219">
        <f>+K282+K291</f>
        <v>36349733.759999998</v>
      </c>
      <c r="L643" s="219">
        <f>+L282+L291</f>
        <v>530728080.75999999</v>
      </c>
      <c r="M643" s="219">
        <f t="shared" si="253"/>
        <v>24632124</v>
      </c>
      <c r="N643" s="219">
        <f>+N282+N291</f>
        <v>62550120.759999998</v>
      </c>
      <c r="O643" s="219">
        <f>+O282+O291</f>
        <v>557199038.75999999</v>
      </c>
      <c r="P643" s="219">
        <f t="shared" si="254"/>
        <v>1838834</v>
      </c>
      <c r="Q643" s="219">
        <f t="shared" si="255"/>
        <v>182921235.24000001</v>
      </c>
      <c r="R643" s="219">
        <f>+R282+R291</f>
        <v>530728080.75999999</v>
      </c>
      <c r="AQ643" s="219"/>
      <c r="AS643" s="219"/>
    </row>
    <row r="644" spans="1:45" x14ac:dyDescent="0.25">
      <c r="A644" s="217"/>
      <c r="B644" s="218" t="str">
        <f>+B303</f>
        <v>GASTOS DE INVERSION</v>
      </c>
      <c r="C644" s="219">
        <f t="shared" ref="C644:I644" si="257">+C645+C649+C653+C657+C670+C662</f>
        <v>14631722900</v>
      </c>
      <c r="D644" s="219">
        <f t="shared" si="257"/>
        <v>692192681</v>
      </c>
      <c r="E644" s="219">
        <f t="shared" si="257"/>
        <v>204467681</v>
      </c>
      <c r="F644" s="219">
        <f t="shared" si="257"/>
        <v>30533106865.73</v>
      </c>
      <c r="G644" s="219">
        <f t="shared" si="257"/>
        <v>45652554765.729996</v>
      </c>
      <c r="H644" s="219">
        <f t="shared" si="257"/>
        <v>3589598433.9899998</v>
      </c>
      <c r="I644" s="219">
        <f t="shared" si="257"/>
        <v>12585275380.280003</v>
      </c>
      <c r="J644" s="219">
        <f t="shared" si="256"/>
        <v>33067279385.449993</v>
      </c>
      <c r="K644" s="219">
        <f>+K645+K649+K653+K657+K670+K662</f>
        <v>1340523336</v>
      </c>
      <c r="L644" s="219">
        <f>+L645+L649+L653+L657+L670+L662</f>
        <v>4816348152.0900002</v>
      </c>
      <c r="M644" s="219">
        <f t="shared" si="253"/>
        <v>7768927228.1900024</v>
      </c>
      <c r="N644" s="219">
        <f>+N645+N649+N653+N657+N670+N662</f>
        <v>4339055546.2800007</v>
      </c>
      <c r="O644" s="219">
        <f>+O645+O649+O653+O657+O670+O662</f>
        <v>21287497944.299999</v>
      </c>
      <c r="P644" s="219">
        <f t="shared" si="254"/>
        <v>8702222564.0199966</v>
      </c>
      <c r="Q644" s="219">
        <f t="shared" si="255"/>
        <v>24365056821.429996</v>
      </c>
      <c r="R644" s="219">
        <f>+R645+R649+R653+R657+R670+R662</f>
        <v>4384812589.3499994</v>
      </c>
      <c r="AQ644" s="219"/>
      <c r="AS644" s="219"/>
    </row>
    <row r="645" spans="1:45" x14ac:dyDescent="0.25">
      <c r="A645" s="217"/>
      <c r="B645" s="218" t="str">
        <f>+B304</f>
        <v>EJE 1. EXCELENCIA ACADEMICA</v>
      </c>
      <c r="C645" s="219">
        <f>+C646+C647+C648</f>
        <v>4575000000</v>
      </c>
      <c r="D645" s="219">
        <f>+D646+D647+D648</f>
        <v>0</v>
      </c>
      <c r="E645" s="219">
        <f>+E646+E647+E648</f>
        <v>0</v>
      </c>
      <c r="F645" s="219">
        <f>+F646+F647+F648</f>
        <v>0</v>
      </c>
      <c r="G645" s="219">
        <f t="shared" si="252"/>
        <v>4575000000</v>
      </c>
      <c r="H645" s="219">
        <f>+H646+H647+H648</f>
        <v>212255236</v>
      </c>
      <c r="I645" s="219">
        <f>+I646+I647+I648</f>
        <v>1321278045.75</v>
      </c>
      <c r="J645" s="219">
        <f t="shared" si="256"/>
        <v>3253721954.25</v>
      </c>
      <c r="K645" s="219">
        <f>+K646+K647+K648</f>
        <v>117355386</v>
      </c>
      <c r="L645" s="219">
        <f>+L646+L647+L648</f>
        <v>1157043848.75</v>
      </c>
      <c r="M645" s="219">
        <f t="shared" si="253"/>
        <v>164234197</v>
      </c>
      <c r="N645" s="219">
        <f>+N646+N647+N648</f>
        <v>280927265</v>
      </c>
      <c r="O645" s="219">
        <f>+O646+O647+O648</f>
        <v>1424864617.75</v>
      </c>
      <c r="P645" s="219">
        <f t="shared" si="254"/>
        <v>103586572</v>
      </c>
      <c r="Q645" s="219">
        <f t="shared" si="255"/>
        <v>3150135382.25</v>
      </c>
      <c r="R645" s="219">
        <f>+R646+R647+R648</f>
        <v>1157043848.75</v>
      </c>
      <c r="AQ645" s="219"/>
      <c r="AS645" s="219"/>
    </row>
    <row r="646" spans="1:45" x14ac:dyDescent="0.25">
      <c r="A646" s="220"/>
      <c r="B646" s="221" t="s">
        <v>1204</v>
      </c>
      <c r="C646" s="222">
        <f>+C310+C313+C321+C325+C327+C332+C338+C343</f>
        <v>2145000000</v>
      </c>
      <c r="D646" s="222">
        <f>+D310+D313+D321+D325+D327+D332+D338+D343</f>
        <v>0</v>
      </c>
      <c r="E646" s="222">
        <f>+E310+E313+E321+E325+E327+E332+E338+E343</f>
        <v>0</v>
      </c>
      <c r="F646" s="222">
        <f>+F310+F313+F321+F325+F327+F332+F338+F343</f>
        <v>0</v>
      </c>
      <c r="G646" s="222">
        <f t="shared" si="252"/>
        <v>2145000000</v>
      </c>
      <c r="H646" s="222">
        <f>+H310+H313+H321+H325+H327+H332+H338+H343</f>
        <v>0</v>
      </c>
      <c r="I646" s="222">
        <f>+I310+I313+I321+I325+I327+I332+I338+I343</f>
        <v>0</v>
      </c>
      <c r="J646" s="222">
        <f t="shared" si="256"/>
        <v>2145000000</v>
      </c>
      <c r="K646" s="222">
        <f>+K310+K313+K321+K325+K327+K332+K338+K343</f>
        <v>0</v>
      </c>
      <c r="L646" s="222">
        <f>+L310+L313+L321+L325+L327+L332+L338+L343</f>
        <v>0</v>
      </c>
      <c r="M646" s="222">
        <f t="shared" si="253"/>
        <v>0</v>
      </c>
      <c r="N646" s="222">
        <f>+N310+N313+N321+N325+N327+N332+N338+N343</f>
        <v>0</v>
      </c>
      <c r="O646" s="222">
        <f>+O310+O313+O321+O325+O327+O332+O338+O343</f>
        <v>0</v>
      </c>
      <c r="P646" s="222">
        <f t="shared" si="254"/>
        <v>0</v>
      </c>
      <c r="Q646" s="222">
        <f t="shared" si="255"/>
        <v>2145000000</v>
      </c>
      <c r="R646" s="222">
        <f>+R310+R313+R321+R325+R327+R332+R338+R343</f>
        <v>0</v>
      </c>
      <c r="AQ646" s="222"/>
      <c r="AS646" s="222"/>
    </row>
    <row r="647" spans="1:45" x14ac:dyDescent="0.25">
      <c r="A647" s="220"/>
      <c r="B647" s="221" t="s">
        <v>942</v>
      </c>
      <c r="C647" s="222">
        <f>+C314+C316+C322+C328+C333+C339+C344</f>
        <v>1300000000</v>
      </c>
      <c r="D647" s="222">
        <f>+D314+D316+D322+D328+D333+D339+D344</f>
        <v>0</v>
      </c>
      <c r="E647" s="222">
        <f>+E314+E316+E322+E328+E333+E339+E344</f>
        <v>0</v>
      </c>
      <c r="F647" s="222">
        <f>+F314+F316+F322+F328+F333+F339+F344</f>
        <v>0</v>
      </c>
      <c r="G647" s="222">
        <f t="shared" si="252"/>
        <v>1300000000</v>
      </c>
      <c r="H647" s="222">
        <f>+H314+H316+H322+H328+H333+H339+H344</f>
        <v>13453236</v>
      </c>
      <c r="I647" s="222">
        <f>+I314+I316+I322+I328+I333+I339+I344</f>
        <v>257620118.75</v>
      </c>
      <c r="J647" s="222">
        <f t="shared" si="256"/>
        <v>1042379881.25</v>
      </c>
      <c r="K647" s="222">
        <f>+K314+K316+K322+K328+K333+K339+K344</f>
        <v>27149928</v>
      </c>
      <c r="L647" s="222">
        <f>+L314+L316+L322+L328+L333+L339+L344</f>
        <v>152586870.75</v>
      </c>
      <c r="M647" s="222">
        <f t="shared" si="253"/>
        <v>105033248</v>
      </c>
      <c r="N647" s="222">
        <f>+N314+N316+N322+N328+N333+N339+N344</f>
        <v>98671724</v>
      </c>
      <c r="O647" s="222">
        <f>+O314+O316+O322+O328+O333+O339+O344</f>
        <v>421088606.75</v>
      </c>
      <c r="P647" s="222">
        <f t="shared" si="254"/>
        <v>163468488</v>
      </c>
      <c r="Q647" s="222">
        <f t="shared" si="255"/>
        <v>878911393.25</v>
      </c>
      <c r="R647" s="222">
        <f>+R314+R316+R322+R328+R333+R339+R344</f>
        <v>152586870.75</v>
      </c>
      <c r="AQ647" s="222"/>
      <c r="AS647" s="222"/>
    </row>
    <row r="648" spans="1:45" x14ac:dyDescent="0.25">
      <c r="A648" s="220"/>
      <c r="B648" s="221" t="s">
        <v>820</v>
      </c>
      <c r="C648" s="222">
        <f>+C307+C311+C323+C334</f>
        <v>1130000000</v>
      </c>
      <c r="D648" s="222">
        <f>+D307+D311+D323+D334</f>
        <v>0</v>
      </c>
      <c r="E648" s="222">
        <f>+E307+E311+E323+E334</f>
        <v>0</v>
      </c>
      <c r="F648" s="222">
        <f>+F307+F311+F323+F334</f>
        <v>0</v>
      </c>
      <c r="G648" s="222">
        <f t="shared" si="252"/>
        <v>1130000000</v>
      </c>
      <c r="H648" s="222">
        <f>+H307+H311+H323+H334</f>
        <v>198802000</v>
      </c>
      <c r="I648" s="222">
        <f>+I307+I311+I323+I334</f>
        <v>1063657927</v>
      </c>
      <c r="J648" s="222">
        <f t="shared" si="256"/>
        <v>66342073</v>
      </c>
      <c r="K648" s="222">
        <f>+K307+K311+K323+K334</f>
        <v>90205458</v>
      </c>
      <c r="L648" s="222">
        <f>+L307+L311+L323+L334</f>
        <v>1004456978</v>
      </c>
      <c r="M648" s="222">
        <f t="shared" si="253"/>
        <v>59200949</v>
      </c>
      <c r="N648" s="222">
        <f>+N307+N311+N323+N334</f>
        <v>182255541</v>
      </c>
      <c r="O648" s="222">
        <f>+O307+O311+O323+O334</f>
        <v>1003776011</v>
      </c>
      <c r="P648" s="222">
        <f t="shared" si="254"/>
        <v>-59881916</v>
      </c>
      <c r="Q648" s="222">
        <f t="shared" si="255"/>
        <v>126223989</v>
      </c>
      <c r="R648" s="222">
        <f>+R307+R311+R323+R334</f>
        <v>1004456978</v>
      </c>
      <c r="AQ648" s="222"/>
      <c r="AS648" s="222"/>
    </row>
    <row r="649" spans="1:45" x14ac:dyDescent="0.25">
      <c r="A649" s="217"/>
      <c r="B649" s="218" t="str">
        <f>+B345</f>
        <v>EJE 2. COMPROMISO SOCIAL.</v>
      </c>
      <c r="C649" s="219">
        <f>+C650+C651+C652</f>
        <v>4800815368</v>
      </c>
      <c r="D649" s="219">
        <f>+D650+D651+D652</f>
        <v>692192681</v>
      </c>
      <c r="E649" s="219">
        <f>+E650+E651+E652</f>
        <v>0</v>
      </c>
      <c r="F649" s="219">
        <f>+F650+F651+F652</f>
        <v>0</v>
      </c>
      <c r="G649" s="219">
        <f t="shared" si="252"/>
        <v>5493008049</v>
      </c>
      <c r="H649" s="219">
        <f>+H650+H651+H652</f>
        <v>610643262</v>
      </c>
      <c r="I649" s="219">
        <f>+I650+I651+I652</f>
        <v>1980744304</v>
      </c>
      <c r="J649" s="219">
        <f t="shared" si="256"/>
        <v>3512263745</v>
      </c>
      <c r="K649" s="219">
        <f>+K650+K651+K652</f>
        <v>256554884</v>
      </c>
      <c r="L649" s="219">
        <f>+L650+L651+L652</f>
        <v>1311275916</v>
      </c>
      <c r="M649" s="219">
        <f t="shared" si="253"/>
        <v>669468388</v>
      </c>
      <c r="N649" s="219">
        <f>+N650+N651+N652</f>
        <v>541767016</v>
      </c>
      <c r="O649" s="219">
        <f>+O650+O651+O652</f>
        <v>3858829235</v>
      </c>
      <c r="P649" s="219">
        <f t="shared" si="254"/>
        <v>1878084931</v>
      </c>
      <c r="Q649" s="219">
        <f t="shared" si="255"/>
        <v>1634178814</v>
      </c>
      <c r="R649" s="219">
        <f>+R650+R651+R652</f>
        <v>1311275916</v>
      </c>
      <c r="AQ649" s="219"/>
      <c r="AS649" s="219"/>
    </row>
    <row r="650" spans="1:45" x14ac:dyDescent="0.25">
      <c r="A650" s="220"/>
      <c r="B650" s="221" t="s">
        <v>1204</v>
      </c>
      <c r="C650" s="222">
        <f>+C350+C354+C358+C362+C365+C367+C371+C380+C382+C386+C391+C394+C401+C404+C411+C413+C416+C418+C422+C425+C429+C406</f>
        <v>1524223579</v>
      </c>
      <c r="D650" s="222">
        <f>+D350+D354+D358+D362+D365+D367+D371+D380+D382+D386+D391+D394+D401+D404+D411+D413+D416+D418+D422+D425+D429+D406</f>
        <v>0</v>
      </c>
      <c r="E650" s="222">
        <f>+E350+E354+E358+E362+E365+E367+E371+E380+E382+E386+E391+E394+E401+E404+E411+E413+E416+E418+E422+E425+E429+E406</f>
        <v>0</v>
      </c>
      <c r="F650" s="222">
        <f>+F350+F354+F358+F362+F365+F367+F371+F380+F382+F386+F391+F394+F401+F404+F411+F413+F416+F418+F422+F425+F429+F406</f>
        <v>0</v>
      </c>
      <c r="G650" s="222">
        <f t="shared" si="252"/>
        <v>1524223579</v>
      </c>
      <c r="H650" s="222">
        <f>+H350+H354+H358+H362+H365+H367+H371+H380+H382+H386+H391+H394+H401+H404+H411+H413+H416+H418+H422+H425+H429+H406</f>
        <v>48968350</v>
      </c>
      <c r="I650" s="222">
        <f>+I350+I354+I358+I362+I365+I367+I371+I380+I382+I386+I391+I394+I401+I404+I411+I413+I416+I418+I422+I425+I429+I406</f>
        <v>48968350</v>
      </c>
      <c r="J650" s="222">
        <f t="shared" si="256"/>
        <v>1475255229</v>
      </c>
      <c r="K650" s="222">
        <f>+K350+K354+K358+K362+K365+K367+K371+K380+K382+K386+K391+K394+K401+K404+K411+K413+K416+K418+K422+K425+K429+K406</f>
        <v>48968350</v>
      </c>
      <c r="L650" s="222">
        <f>+L350+L354+L358+L362+L365+L367+L371+L380+L382+L386+L391+L394+L401+L404+L411+L413+L416+L418+L422+L425+L429+L406</f>
        <v>83608350</v>
      </c>
      <c r="M650" s="222">
        <f t="shared" si="253"/>
        <v>-34640000</v>
      </c>
      <c r="N650" s="222">
        <f>+N350+N354+N358+N362+N365+N367+N371+N380+N382+N386+N391+N394+N401+N404+N411+N413+N416+N418+N422+N425+N429+N406</f>
        <v>197968350</v>
      </c>
      <c r="O650" s="222">
        <f>+O350+O354+O358+O362+O365+O367+O371+O380+O382+O386+O391+O394+O401+O404+O411+O413+O416+O418+O422+O425+O429+O406</f>
        <v>197968350</v>
      </c>
      <c r="P650" s="222">
        <f t="shared" si="254"/>
        <v>149000000</v>
      </c>
      <c r="Q650" s="222">
        <f t="shared" si="255"/>
        <v>1326255229</v>
      </c>
      <c r="R650" s="222">
        <f>+R350+R354+R358+R362+R365+R367+R371+R380+R382+R386+R391+R394+R401+R404+R411+R413+R416+R418+R422+R425+R429+R406</f>
        <v>83608350</v>
      </c>
      <c r="AQ650" s="222"/>
      <c r="AS650" s="222"/>
    </row>
    <row r="651" spans="1:45" x14ac:dyDescent="0.25">
      <c r="A651" s="220"/>
      <c r="B651" s="221" t="s">
        <v>942</v>
      </c>
      <c r="C651" s="222">
        <f>+C351+C355+C359+C363+C368+C372+C374+C377+C383+C397+C423</f>
        <v>876591789</v>
      </c>
      <c r="D651" s="222">
        <f>+D351+D355+D359+D363+D368+D372+D374+D377+D383+D397+D423</f>
        <v>0</v>
      </c>
      <c r="E651" s="222">
        <f>+E351+E355+E359+E363+E368+E372+E374+E377+E383+E397+E423</f>
        <v>0</v>
      </c>
      <c r="F651" s="222">
        <f>+F351+F355+F359+F363+F368+F372+F374+F377+F383+F397+F423</f>
        <v>0</v>
      </c>
      <c r="G651" s="222">
        <f t="shared" si="252"/>
        <v>876591789</v>
      </c>
      <c r="H651" s="222">
        <f>+H351+H355+H359+H363+H368+H372+H374+H377+H383+H397+H423</f>
        <v>154465741</v>
      </c>
      <c r="I651" s="222">
        <f>+I351+I355+I359+I363+I368+I372+I374+I377+I383+I397+I423</f>
        <v>383644602</v>
      </c>
      <c r="J651" s="222">
        <f t="shared" si="256"/>
        <v>492947187</v>
      </c>
      <c r="K651" s="222">
        <f>+K351+K355+K359+K363+K368+K372+K374+K377+K383+K397+K423</f>
        <v>13473975</v>
      </c>
      <c r="L651" s="222">
        <f>+L351+L355+L359+L363+L368+L372+L374+L377+L383+L397+L423</f>
        <v>261278316</v>
      </c>
      <c r="M651" s="222">
        <f t="shared" si="253"/>
        <v>122366286</v>
      </c>
      <c r="N651" s="222">
        <f>+N351+N355+N359+N363+N368+N372+N374+N377+N383+N397+N423</f>
        <v>50892815</v>
      </c>
      <c r="O651" s="222">
        <f>+O351+O355+O359+O363+O368+O372+O374+O377+O383+O397+O423</f>
        <v>744359696</v>
      </c>
      <c r="P651" s="222">
        <f t="shared" si="254"/>
        <v>360715094</v>
      </c>
      <c r="Q651" s="222">
        <f t="shared" si="255"/>
        <v>132232093</v>
      </c>
      <c r="R651" s="222">
        <f>+R351+R355+R359+R363+R368+R372+R374+R377+R383+R397+R423</f>
        <v>261278316</v>
      </c>
      <c r="AQ651" s="222"/>
      <c r="AS651" s="222"/>
    </row>
    <row r="652" spans="1:45" x14ac:dyDescent="0.25">
      <c r="A652" s="220"/>
      <c r="B652" s="221" t="s">
        <v>820</v>
      </c>
      <c r="C652" s="222">
        <f>+C352+C356+C360+C369+C375+C378+C384+C387+C388+C392+C395+C398+C402+C405+C408+C414+C431</f>
        <v>2400000000</v>
      </c>
      <c r="D652" s="222">
        <f>+D352+D356+D360+D369+D375+D378+D384+D387+D388+D392+D395+D398+D402+D405+D408+D414+D431</f>
        <v>692192681</v>
      </c>
      <c r="E652" s="222">
        <f>+E352+E356+E360+E369+E375+E378+E384+E387+E388+E392+E395+E398+E402+E405+E408+E414+E431</f>
        <v>0</v>
      </c>
      <c r="F652" s="222">
        <f>+F352+F356+F360+F369+F375+F378+F384+F387+F388+F392+F395+F398+F402+F405+F408+F414+F431</f>
        <v>0</v>
      </c>
      <c r="G652" s="222">
        <f t="shared" si="252"/>
        <v>3092192681</v>
      </c>
      <c r="H652" s="222">
        <f>+H352+H356+H360+H369+H375+H378+H384+H387+H388+H392+H395+H398+H402+H405+H408+H414+H431</f>
        <v>407209171</v>
      </c>
      <c r="I652" s="222">
        <f>+I352+I356+I360+I369+I375+I378+I384+I387+I388+I392+I395+I398+I402+I405+I408+I414+I431</f>
        <v>1548131352</v>
      </c>
      <c r="J652" s="222">
        <f t="shared" si="256"/>
        <v>1544061329</v>
      </c>
      <c r="K652" s="222">
        <f>+K352+K356+K360+K369+K375+K378+K384+K387+K388+K392+K395+K398+K402+K405+K408+K414+K431</f>
        <v>194112559</v>
      </c>
      <c r="L652" s="222">
        <f>+L352+L356+L360+L369+L375+L378+L384+L387+L388+L392+L395+L398+L402+L405+L408+L414+L431</f>
        <v>966389250</v>
      </c>
      <c r="M652" s="222">
        <f t="shared" si="253"/>
        <v>581742102</v>
      </c>
      <c r="N652" s="222">
        <f>+N352+N356+N360+N369+N375+N378+N384+N387+N388+N392+N395+N398+N402+N405+N408+N414+N431</f>
        <v>292905851</v>
      </c>
      <c r="O652" s="222">
        <f>+O352+O356+O360+O369+O375+O378+O384+O387+O388+O392+O395+O398+O402+O405+O408+O414+O431</f>
        <v>2916501189</v>
      </c>
      <c r="P652" s="222">
        <f t="shared" si="254"/>
        <v>1368369837</v>
      </c>
      <c r="Q652" s="222">
        <f t="shared" si="255"/>
        <v>175691492</v>
      </c>
      <c r="R652" s="222">
        <f>+R352+R356+R360+R369+R375+R378+R384+R387+R388+R392+R395+R398+R402+R405+R408+R414+R431</f>
        <v>966389250</v>
      </c>
      <c r="AQ652" s="222"/>
      <c r="AS652" s="222"/>
    </row>
    <row r="653" spans="1:45" x14ac:dyDescent="0.25">
      <c r="A653" s="217"/>
      <c r="B653" s="218" t="str">
        <f>+B432</f>
        <v>EJE 3. COMPROMISO AMBIENTAL</v>
      </c>
      <c r="C653" s="219">
        <f>+C654+C655+C656</f>
        <v>95000000</v>
      </c>
      <c r="D653" s="219">
        <f>+D654+D655+D656</f>
        <v>0</v>
      </c>
      <c r="E653" s="219">
        <f>+E654+E655+E656</f>
        <v>0</v>
      </c>
      <c r="F653" s="219">
        <f>+F654+F655+F656</f>
        <v>0</v>
      </c>
      <c r="G653" s="219">
        <f t="shared" si="252"/>
        <v>95000000</v>
      </c>
      <c r="H653" s="219">
        <f>+H654+H655+H656</f>
        <v>0</v>
      </c>
      <c r="I653" s="219">
        <f>+I654+I655+I656</f>
        <v>0</v>
      </c>
      <c r="J653" s="219">
        <f t="shared" si="256"/>
        <v>95000000</v>
      </c>
      <c r="K653" s="219">
        <f>+K654+K655+K656</f>
        <v>0</v>
      </c>
      <c r="L653" s="219">
        <f>+L654+L655+L656</f>
        <v>0</v>
      </c>
      <c r="M653" s="219">
        <f t="shared" si="253"/>
        <v>0</v>
      </c>
      <c r="N653" s="219">
        <f>+N654+N655+N656</f>
        <v>0</v>
      </c>
      <c r="O653" s="219">
        <f>+O654+O655+O656</f>
        <v>0</v>
      </c>
      <c r="P653" s="219">
        <f t="shared" si="254"/>
        <v>0</v>
      </c>
      <c r="Q653" s="219">
        <f t="shared" si="255"/>
        <v>95000000</v>
      </c>
      <c r="R653" s="219">
        <f>+R654+R655+R656</f>
        <v>0</v>
      </c>
      <c r="AQ653" s="219"/>
      <c r="AS653" s="219"/>
    </row>
    <row r="654" spans="1:45" x14ac:dyDescent="0.25">
      <c r="A654" s="223"/>
      <c r="B654" s="221" t="s">
        <v>1204</v>
      </c>
      <c r="C654" s="222">
        <f>+C436+C442+C439</f>
        <v>45000000</v>
      </c>
      <c r="D654" s="222">
        <f>+D436+D442+D439</f>
        <v>0</v>
      </c>
      <c r="E654" s="222">
        <f>+E436+E442+E439</f>
        <v>0</v>
      </c>
      <c r="F654" s="222">
        <f>+F436+F442+F439</f>
        <v>0</v>
      </c>
      <c r="G654" s="222">
        <f t="shared" si="252"/>
        <v>45000000</v>
      </c>
      <c r="H654" s="222">
        <f>+H436+H442+H439</f>
        <v>0</v>
      </c>
      <c r="I654" s="222">
        <f>+I436+I442+I439</f>
        <v>0</v>
      </c>
      <c r="J654" s="222">
        <f t="shared" si="256"/>
        <v>45000000</v>
      </c>
      <c r="K654" s="222">
        <f>+K436+K442+K439</f>
        <v>0</v>
      </c>
      <c r="L654" s="222">
        <f>+L436+L442+L439</f>
        <v>0</v>
      </c>
      <c r="M654" s="222">
        <f t="shared" si="253"/>
        <v>0</v>
      </c>
      <c r="N654" s="222">
        <f>+N436+N442+N439</f>
        <v>0</v>
      </c>
      <c r="O654" s="222">
        <f>+O436+O442+O439</f>
        <v>0</v>
      </c>
      <c r="P654" s="222">
        <f t="shared" si="254"/>
        <v>0</v>
      </c>
      <c r="Q654" s="222">
        <f t="shared" si="255"/>
        <v>45000000</v>
      </c>
      <c r="R654" s="222">
        <f>+R436+R442+R439</f>
        <v>0</v>
      </c>
      <c r="AQ654" s="222"/>
      <c r="AS654" s="222"/>
    </row>
    <row r="655" spans="1:45" x14ac:dyDescent="0.25">
      <c r="A655" s="223"/>
      <c r="B655" s="221" t="s">
        <v>942</v>
      </c>
      <c r="C655" s="222">
        <f>+C437</f>
        <v>5000000</v>
      </c>
      <c r="D655" s="222">
        <f>+D437</f>
        <v>0</v>
      </c>
      <c r="E655" s="222">
        <f>+E437</f>
        <v>0</v>
      </c>
      <c r="F655" s="222">
        <f>+F437</f>
        <v>0</v>
      </c>
      <c r="G655" s="222">
        <f t="shared" si="252"/>
        <v>5000000</v>
      </c>
      <c r="H655" s="222">
        <f>+H437</f>
        <v>0</v>
      </c>
      <c r="I655" s="222">
        <f>+I437</f>
        <v>0</v>
      </c>
      <c r="J655" s="222">
        <f t="shared" si="256"/>
        <v>5000000</v>
      </c>
      <c r="K655" s="222">
        <f>+K437</f>
        <v>0</v>
      </c>
      <c r="L655" s="222">
        <f>+L437</f>
        <v>0</v>
      </c>
      <c r="M655" s="222">
        <f t="shared" si="253"/>
        <v>0</v>
      </c>
      <c r="N655" s="222">
        <f>+N437</f>
        <v>0</v>
      </c>
      <c r="O655" s="222">
        <f>+O437</f>
        <v>0</v>
      </c>
      <c r="P655" s="222">
        <f t="shared" si="254"/>
        <v>0</v>
      </c>
      <c r="Q655" s="222">
        <f t="shared" si="255"/>
        <v>5000000</v>
      </c>
      <c r="R655" s="222">
        <f>+R437</f>
        <v>0</v>
      </c>
      <c r="AQ655" s="222"/>
      <c r="AS655" s="222"/>
    </row>
    <row r="656" spans="1:45" x14ac:dyDescent="0.25">
      <c r="A656" s="223"/>
      <c r="B656" s="221" t="s">
        <v>820</v>
      </c>
      <c r="C656" s="222">
        <f>+C438+C443</f>
        <v>45000000</v>
      </c>
      <c r="D656" s="222">
        <f>+D438+D443</f>
        <v>0</v>
      </c>
      <c r="E656" s="222">
        <f>+E438+E443</f>
        <v>0</v>
      </c>
      <c r="F656" s="222">
        <f>+F438+F443</f>
        <v>0</v>
      </c>
      <c r="G656" s="222">
        <f t="shared" si="252"/>
        <v>45000000</v>
      </c>
      <c r="H656" s="222">
        <f>+H438+H443</f>
        <v>0</v>
      </c>
      <c r="I656" s="222">
        <f>+I438+I443</f>
        <v>0</v>
      </c>
      <c r="J656" s="222">
        <f t="shared" si="256"/>
        <v>45000000</v>
      </c>
      <c r="K656" s="222">
        <f>+K438+K443</f>
        <v>0</v>
      </c>
      <c r="L656" s="222">
        <f>+L438+L443</f>
        <v>0</v>
      </c>
      <c r="M656" s="222">
        <f t="shared" si="253"/>
        <v>0</v>
      </c>
      <c r="N656" s="222">
        <f>+N438+N443</f>
        <v>0</v>
      </c>
      <c r="O656" s="222">
        <f>+O438+O443</f>
        <v>0</v>
      </c>
      <c r="P656" s="222">
        <f t="shared" si="254"/>
        <v>0</v>
      </c>
      <c r="Q656" s="222">
        <f t="shared" si="255"/>
        <v>45000000</v>
      </c>
      <c r="R656" s="222">
        <f>+R438+R443</f>
        <v>0</v>
      </c>
      <c r="AQ656" s="222"/>
      <c r="AS656" s="222"/>
    </row>
    <row r="657" spans="1:45" x14ac:dyDescent="0.25">
      <c r="A657" s="217"/>
      <c r="B657" s="218" t="str">
        <f>+B444</f>
        <v>EJE 4. EFICIENCIA Y TRANSPARENCIA ADMINISTRATIVA</v>
      </c>
      <c r="C657" s="219">
        <f>+C658+C659+C660+C661</f>
        <v>4961907532</v>
      </c>
      <c r="D657" s="219">
        <f>+D658+D659+D660+D661</f>
        <v>0</v>
      </c>
      <c r="E657" s="219">
        <f>+E658+E659+E660+E661</f>
        <v>204467681</v>
      </c>
      <c r="F657" s="219">
        <f>+F658+F659+F660+F661</f>
        <v>1747000000</v>
      </c>
      <c r="G657" s="219">
        <f t="shared" si="252"/>
        <v>6504439851</v>
      </c>
      <c r="H657" s="219">
        <f>+H658+H659+H660+H661</f>
        <v>290814417</v>
      </c>
      <c r="I657" s="219">
        <f>+I658+I659+I660+I661</f>
        <v>2687552353.5300002</v>
      </c>
      <c r="J657" s="219">
        <f t="shared" si="256"/>
        <v>3816887497.4699998</v>
      </c>
      <c r="K657" s="219">
        <f>+K658+K659+K660+K661</f>
        <v>536243188</v>
      </c>
      <c r="L657" s="219">
        <f>+L658+L659+L660+L661</f>
        <v>1161994783.8699999</v>
      </c>
      <c r="M657" s="219">
        <f t="shared" si="253"/>
        <v>1525557569.6600003</v>
      </c>
      <c r="N657" s="219">
        <f>+N658+N659+N660+N661</f>
        <v>359377483.75999999</v>
      </c>
      <c r="O657" s="219">
        <f>+O658+O659+O660+O661</f>
        <v>3745705273.9300003</v>
      </c>
      <c r="P657" s="219">
        <f t="shared" si="254"/>
        <v>1058152920.4000001</v>
      </c>
      <c r="Q657" s="219">
        <f t="shared" si="255"/>
        <v>2758734577.0699997</v>
      </c>
      <c r="R657" s="219">
        <f>+R658+R659+R660+R661</f>
        <v>1161994783.8699999</v>
      </c>
      <c r="AQ657" s="219"/>
      <c r="AS657" s="219"/>
    </row>
    <row r="658" spans="1:45" x14ac:dyDescent="0.25">
      <c r="A658" s="223"/>
      <c r="B658" s="221" t="s">
        <v>1204</v>
      </c>
      <c r="C658" s="222">
        <f>+C448+C450+C456+C463</f>
        <v>1954177995</v>
      </c>
      <c r="D658" s="222">
        <f>+D448+D450+D456+D463</f>
        <v>0</v>
      </c>
      <c r="E658" s="222">
        <f>+E448+E450+E456+E463</f>
        <v>0</v>
      </c>
      <c r="F658" s="222">
        <f>+F448+F450+F456+F463</f>
        <v>0</v>
      </c>
      <c r="G658" s="222">
        <f t="shared" si="252"/>
        <v>1954177995</v>
      </c>
      <c r="H658" s="222">
        <f>+H448+H450+H456+H463</f>
        <v>0</v>
      </c>
      <c r="I658" s="222">
        <f>+I448+I450+I456+I463</f>
        <v>0</v>
      </c>
      <c r="J658" s="222">
        <f t="shared" si="256"/>
        <v>1954177995</v>
      </c>
      <c r="K658" s="222">
        <f>+K448+K450+K456+K463</f>
        <v>0</v>
      </c>
      <c r="L658" s="222">
        <f>+L448+L450+L456+L463</f>
        <v>0</v>
      </c>
      <c r="M658" s="222">
        <f t="shared" si="253"/>
        <v>0</v>
      </c>
      <c r="N658" s="222">
        <f>+N448+N450+N456+N463</f>
        <v>0</v>
      </c>
      <c r="O658" s="222">
        <f>+O448+O450+O456+O463</f>
        <v>0</v>
      </c>
      <c r="P658" s="222">
        <f t="shared" si="254"/>
        <v>0</v>
      </c>
      <c r="Q658" s="222">
        <f t="shared" si="255"/>
        <v>1954177995</v>
      </c>
      <c r="R658" s="222">
        <f>+R448+R450+R456+R463</f>
        <v>0</v>
      </c>
      <c r="AQ658" s="222"/>
      <c r="AS658" s="222"/>
    </row>
    <row r="659" spans="1:45" x14ac:dyDescent="0.25">
      <c r="A659" s="223"/>
      <c r="B659" s="221" t="s">
        <v>942</v>
      </c>
      <c r="C659" s="222">
        <f>+C453+C457+C460</f>
        <v>477729537</v>
      </c>
      <c r="D659" s="222">
        <f>+D453+D457+D460</f>
        <v>0</v>
      </c>
      <c r="E659" s="222">
        <f>+E453+E457+E460</f>
        <v>0</v>
      </c>
      <c r="F659" s="222">
        <f>+F453+F457+F460</f>
        <v>0</v>
      </c>
      <c r="G659" s="222">
        <f t="shared" si="252"/>
        <v>477729537</v>
      </c>
      <c r="H659" s="222">
        <f>+H453+H457+H460</f>
        <v>12611620</v>
      </c>
      <c r="I659" s="222">
        <f>+I453+I457+I460</f>
        <v>155041157</v>
      </c>
      <c r="J659" s="222">
        <f t="shared" si="256"/>
        <v>322688380</v>
      </c>
      <c r="K659" s="222">
        <f>+K453+K457+K460</f>
        <v>54121203</v>
      </c>
      <c r="L659" s="222">
        <f>+L453+L457+L460</f>
        <v>128111796</v>
      </c>
      <c r="M659" s="222">
        <f t="shared" si="253"/>
        <v>26929361</v>
      </c>
      <c r="N659" s="222">
        <f>+N453+N457+N460</f>
        <v>179055811.94</v>
      </c>
      <c r="O659" s="222">
        <f>+O453+O457+O460</f>
        <v>334096968.94</v>
      </c>
      <c r="P659" s="222">
        <f t="shared" si="254"/>
        <v>179055811.94</v>
      </c>
      <c r="Q659" s="222">
        <f t="shared" si="255"/>
        <v>143632568.06</v>
      </c>
      <c r="R659" s="222">
        <f>+R453+R457+R460</f>
        <v>128111796</v>
      </c>
      <c r="AQ659" s="222"/>
      <c r="AS659" s="222"/>
    </row>
    <row r="660" spans="1:45" x14ac:dyDescent="0.25">
      <c r="A660" s="223"/>
      <c r="B660" s="221" t="s">
        <v>820</v>
      </c>
      <c r="C660" s="222">
        <f>+C451+C454+C458+C461+C464</f>
        <v>2015000000</v>
      </c>
      <c r="D660" s="222">
        <f>+D451+D454+D458+D461+D464</f>
        <v>0</v>
      </c>
      <c r="E660" s="222">
        <f>+E451+E454+E458+E461+E464</f>
        <v>204467681</v>
      </c>
      <c r="F660" s="222">
        <f>+F451+F454+F458+F461+F464</f>
        <v>1747000000</v>
      </c>
      <c r="G660" s="222">
        <f t="shared" si="252"/>
        <v>3557532319</v>
      </c>
      <c r="H660" s="222">
        <f>+H451+H454+H458+H461+H464</f>
        <v>278202797</v>
      </c>
      <c r="I660" s="222">
        <f>+I451+I454+I458+I461+I464</f>
        <v>2425114977.52</v>
      </c>
      <c r="J660" s="222">
        <f t="shared" si="256"/>
        <v>1132417341.48</v>
      </c>
      <c r="K660" s="222">
        <f>+K451+K454+K458+K461+K464</f>
        <v>482121985</v>
      </c>
      <c r="L660" s="222">
        <f>+L451+L454+L458+L461+L464</f>
        <v>1033882987.87</v>
      </c>
      <c r="M660" s="222">
        <f t="shared" si="253"/>
        <v>1391231989.6500001</v>
      </c>
      <c r="N660" s="222">
        <f>+N451+N454+N458+N461+N464</f>
        <v>180321671.81999999</v>
      </c>
      <c r="O660" s="222">
        <f>+O451+O454+O458+O461+O464</f>
        <v>3304212085.98</v>
      </c>
      <c r="P660" s="222">
        <f t="shared" si="254"/>
        <v>879097108.46000004</v>
      </c>
      <c r="Q660" s="222">
        <f t="shared" si="255"/>
        <v>253320233.01999998</v>
      </c>
      <c r="R660" s="222">
        <f>+R451+R454+R458+R461+R464</f>
        <v>1033882987.87</v>
      </c>
      <c r="AQ660" s="222"/>
      <c r="AS660" s="222"/>
    </row>
    <row r="661" spans="1:45" x14ac:dyDescent="0.25">
      <c r="A661" s="223"/>
      <c r="B661" s="221" t="s">
        <v>1205</v>
      </c>
      <c r="C661" s="222">
        <f>+C465</f>
        <v>515000000</v>
      </c>
      <c r="D661" s="222">
        <f>+D465</f>
        <v>0</v>
      </c>
      <c r="E661" s="222">
        <f>+E465</f>
        <v>0</v>
      </c>
      <c r="F661" s="222">
        <f>+F465</f>
        <v>0</v>
      </c>
      <c r="G661" s="222">
        <f t="shared" si="252"/>
        <v>515000000</v>
      </c>
      <c r="H661" s="222">
        <f>+H465</f>
        <v>0</v>
      </c>
      <c r="I661" s="222">
        <f>+I465</f>
        <v>107396219.01000001</v>
      </c>
      <c r="J661" s="222">
        <f t="shared" si="256"/>
        <v>407603780.99000001</v>
      </c>
      <c r="K661" s="222">
        <f>+K465</f>
        <v>0</v>
      </c>
      <c r="L661" s="222">
        <f>+L465</f>
        <v>0</v>
      </c>
      <c r="M661" s="222">
        <f t="shared" si="253"/>
        <v>107396219.01000001</v>
      </c>
      <c r="N661" s="222">
        <f>+N465</f>
        <v>0</v>
      </c>
      <c r="O661" s="222">
        <f>+O465</f>
        <v>107396219.01000001</v>
      </c>
      <c r="P661" s="222">
        <f t="shared" si="254"/>
        <v>0</v>
      </c>
      <c r="Q661" s="222">
        <f t="shared" si="255"/>
        <v>407603780.99000001</v>
      </c>
      <c r="R661" s="222">
        <f>+R465</f>
        <v>0</v>
      </c>
      <c r="AQ661" s="222"/>
      <c r="AS661" s="222"/>
    </row>
    <row r="662" spans="1:45" x14ac:dyDescent="0.25">
      <c r="A662" s="217"/>
      <c r="B662" s="218" t="s">
        <v>833</v>
      </c>
      <c r="C662" s="219">
        <f>+C669+C667+C668+C666+C665+C664+C663</f>
        <v>0</v>
      </c>
      <c r="D662" s="219">
        <f t="shared" ref="D662:R662" si="258">+D669+D667+D668+D666+D665+D664+D663</f>
        <v>0</v>
      </c>
      <c r="E662" s="219">
        <f t="shared" si="258"/>
        <v>0</v>
      </c>
      <c r="F662" s="219">
        <f t="shared" si="258"/>
        <v>17055410245.630001</v>
      </c>
      <c r="G662" s="219">
        <f t="shared" si="258"/>
        <v>17055410245.630001</v>
      </c>
      <c r="H662" s="219">
        <f t="shared" si="258"/>
        <v>918355256.99000001</v>
      </c>
      <c r="I662" s="219">
        <f t="shared" si="258"/>
        <v>1741122018.29</v>
      </c>
      <c r="J662" s="219">
        <f t="shared" si="258"/>
        <v>15314288227.34</v>
      </c>
      <c r="K662" s="219">
        <f t="shared" si="258"/>
        <v>168211436.74000001</v>
      </c>
      <c r="L662" s="219">
        <f t="shared" si="258"/>
        <v>599644965.37</v>
      </c>
      <c r="M662" s="219">
        <f t="shared" si="258"/>
        <v>1141477052.9200001</v>
      </c>
      <c r="N662" s="219">
        <f t="shared" si="258"/>
        <v>2115805940.5200002</v>
      </c>
      <c r="O662" s="219">
        <f t="shared" si="258"/>
        <v>5334746484.8199997</v>
      </c>
      <c r="P662" s="219">
        <f t="shared" si="258"/>
        <v>3593624466.5299997</v>
      </c>
      <c r="Q662" s="219">
        <f t="shared" si="258"/>
        <v>11720663760.810001</v>
      </c>
      <c r="R662" s="219">
        <f t="shared" si="258"/>
        <v>168109402.63</v>
      </c>
      <c r="AQ662" s="219"/>
      <c r="AS662" s="219"/>
    </row>
    <row r="663" spans="1:45" x14ac:dyDescent="0.25">
      <c r="A663" s="270" t="s">
        <v>1206</v>
      </c>
      <c r="B663" s="224" t="s">
        <v>1207</v>
      </c>
      <c r="C663" s="225"/>
      <c r="D663" s="225"/>
      <c r="E663" s="225"/>
      <c r="F663" s="225"/>
      <c r="G663" s="225">
        <f t="shared" si="252"/>
        <v>0</v>
      </c>
      <c r="H663" s="225"/>
      <c r="I663" s="225"/>
      <c r="J663" s="225">
        <f t="shared" ref="J663:J668" si="259">+G663-I663</f>
        <v>0</v>
      </c>
      <c r="K663" s="225"/>
      <c r="L663" s="225"/>
      <c r="M663" s="225">
        <f t="shared" ref="M663:M668" si="260">+I663-L663</f>
        <v>0</v>
      </c>
      <c r="N663" s="225"/>
      <c r="O663" s="225"/>
      <c r="P663" s="225">
        <f t="shared" ref="P663:P668" si="261">+O663-I663</f>
        <v>0</v>
      </c>
      <c r="Q663" s="225">
        <f t="shared" ref="Q663:Q668" si="262">+G663-O663</f>
        <v>0</v>
      </c>
      <c r="R663" s="225">
        <f>+R467</f>
        <v>0</v>
      </c>
      <c r="AQ663" s="225"/>
      <c r="AS663" s="225"/>
    </row>
    <row r="664" spans="1:45" x14ac:dyDescent="0.25">
      <c r="A664" s="271"/>
      <c r="B664" s="224" t="s">
        <v>1205</v>
      </c>
      <c r="C664" s="225"/>
      <c r="D664" s="225"/>
      <c r="E664" s="225"/>
      <c r="F664" s="225"/>
      <c r="G664" s="225">
        <f t="shared" si="252"/>
        <v>0</v>
      </c>
      <c r="H664" s="225"/>
      <c r="I664" s="225"/>
      <c r="J664" s="225">
        <f t="shared" si="259"/>
        <v>0</v>
      </c>
      <c r="K664" s="225"/>
      <c r="L664" s="225"/>
      <c r="M664" s="225">
        <f t="shared" si="260"/>
        <v>0</v>
      </c>
      <c r="N664" s="225"/>
      <c r="O664" s="225"/>
      <c r="P664" s="225">
        <f t="shared" si="261"/>
        <v>0</v>
      </c>
      <c r="Q664" s="225">
        <f t="shared" si="262"/>
        <v>0</v>
      </c>
      <c r="R664" s="225">
        <f>+R468</f>
        <v>0</v>
      </c>
      <c r="AQ664" s="225"/>
      <c r="AS664" s="225"/>
    </row>
    <row r="665" spans="1:45" x14ac:dyDescent="0.25">
      <c r="A665" s="271"/>
      <c r="B665" s="224" t="s">
        <v>942</v>
      </c>
      <c r="C665" s="225"/>
      <c r="D665" s="225"/>
      <c r="E665" s="225"/>
      <c r="F665" s="225"/>
      <c r="G665" s="225">
        <f t="shared" si="252"/>
        <v>0</v>
      </c>
      <c r="H665" s="225"/>
      <c r="I665" s="225"/>
      <c r="J665" s="225">
        <f t="shared" si="259"/>
        <v>0</v>
      </c>
      <c r="K665" s="225"/>
      <c r="L665" s="225"/>
      <c r="M665" s="225">
        <f t="shared" si="260"/>
        <v>0</v>
      </c>
      <c r="N665" s="225"/>
      <c r="O665" s="225"/>
      <c r="P665" s="225">
        <f t="shared" si="261"/>
        <v>0</v>
      </c>
      <c r="Q665" s="225">
        <f t="shared" si="262"/>
        <v>0</v>
      </c>
      <c r="R665" s="225"/>
      <c r="AQ665" s="225"/>
      <c r="AS665" s="225"/>
    </row>
    <row r="666" spans="1:45" x14ac:dyDescent="0.25">
      <c r="A666" s="271"/>
      <c r="B666" s="224" t="s">
        <v>1208</v>
      </c>
      <c r="C666" s="225"/>
      <c r="D666" s="225"/>
      <c r="E666" s="225"/>
      <c r="F666" s="225"/>
      <c r="G666" s="225">
        <f t="shared" si="252"/>
        <v>0</v>
      </c>
      <c r="H666" s="225"/>
      <c r="I666" s="225"/>
      <c r="J666" s="225">
        <f t="shared" si="259"/>
        <v>0</v>
      </c>
      <c r="K666" s="225"/>
      <c r="L666" s="225"/>
      <c r="M666" s="225">
        <f t="shared" si="260"/>
        <v>0</v>
      </c>
      <c r="N666" s="225"/>
      <c r="O666" s="225"/>
      <c r="P666" s="225">
        <f t="shared" si="261"/>
        <v>0</v>
      </c>
      <c r="Q666" s="225">
        <f t="shared" si="262"/>
        <v>0</v>
      </c>
      <c r="R666" s="225"/>
      <c r="AQ666" s="225"/>
      <c r="AS666" s="225"/>
    </row>
    <row r="667" spans="1:45" x14ac:dyDescent="0.25">
      <c r="A667" s="271"/>
      <c r="B667" s="224" t="s">
        <v>1209</v>
      </c>
      <c r="C667" s="225"/>
      <c r="D667" s="225"/>
      <c r="E667" s="225"/>
      <c r="F667" s="225"/>
      <c r="G667" s="225">
        <f t="shared" si="252"/>
        <v>0</v>
      </c>
      <c r="H667" s="225"/>
      <c r="I667" s="225"/>
      <c r="J667" s="225">
        <f t="shared" si="259"/>
        <v>0</v>
      </c>
      <c r="K667" s="225"/>
      <c r="L667" s="225"/>
      <c r="M667" s="225">
        <f t="shared" si="260"/>
        <v>0</v>
      </c>
      <c r="N667" s="225"/>
      <c r="O667" s="225"/>
      <c r="P667" s="225">
        <f t="shared" si="261"/>
        <v>0</v>
      </c>
      <c r="Q667" s="225">
        <f t="shared" si="262"/>
        <v>0</v>
      </c>
      <c r="R667" s="225"/>
      <c r="AQ667" s="225"/>
      <c r="AS667" s="225"/>
    </row>
    <row r="668" spans="1:45" x14ac:dyDescent="0.25">
      <c r="A668" s="272"/>
      <c r="B668" s="224" t="s">
        <v>1210</v>
      </c>
      <c r="C668" s="225"/>
      <c r="D668" s="225"/>
      <c r="E668" s="225"/>
      <c r="F668" s="225"/>
      <c r="G668" s="225">
        <f t="shared" si="252"/>
        <v>0</v>
      </c>
      <c r="H668" s="225"/>
      <c r="I668" s="225"/>
      <c r="J668" s="225">
        <f t="shared" si="259"/>
        <v>0</v>
      </c>
      <c r="K668" s="225"/>
      <c r="L668" s="225"/>
      <c r="M668" s="225">
        <f t="shared" si="260"/>
        <v>0</v>
      </c>
      <c r="N668" s="225"/>
      <c r="O668" s="225"/>
      <c r="P668" s="225">
        <f t="shared" si="261"/>
        <v>0</v>
      </c>
      <c r="Q668" s="225">
        <f t="shared" si="262"/>
        <v>0</v>
      </c>
      <c r="R668" s="225">
        <f t="shared" ref="R668" si="263">+R555</f>
        <v>37857869</v>
      </c>
      <c r="AQ668" s="225"/>
      <c r="AS668" s="225"/>
    </row>
    <row r="669" spans="1:45" x14ac:dyDescent="0.25">
      <c r="A669" s="223"/>
      <c r="B669" s="221" t="s">
        <v>820</v>
      </c>
      <c r="C669" s="222"/>
      <c r="D669" s="222"/>
      <c r="E669" s="222"/>
      <c r="F669" s="222">
        <f>+F469</f>
        <v>17055410245.630001</v>
      </c>
      <c r="G669" s="222">
        <f t="shared" si="252"/>
        <v>17055410245.630001</v>
      </c>
      <c r="H669" s="222">
        <f t="shared" ref="H669:R669" si="264">+H469</f>
        <v>918355256.99000001</v>
      </c>
      <c r="I669" s="222">
        <f t="shared" si="264"/>
        <v>1741122018.29</v>
      </c>
      <c r="J669" s="222">
        <f t="shared" si="256"/>
        <v>15314288227.34</v>
      </c>
      <c r="K669" s="222">
        <f t="shared" si="264"/>
        <v>168211436.74000001</v>
      </c>
      <c r="L669" s="222">
        <f t="shared" si="264"/>
        <v>599644965.37</v>
      </c>
      <c r="M669" s="222">
        <f t="shared" si="253"/>
        <v>1141477052.9200001</v>
      </c>
      <c r="N669" s="222">
        <f t="shared" si="264"/>
        <v>2115805940.5200002</v>
      </c>
      <c r="O669" s="222">
        <f t="shared" si="264"/>
        <v>5334746484.8199997</v>
      </c>
      <c r="P669" s="222">
        <f t="shared" si="254"/>
        <v>3593624466.5299997</v>
      </c>
      <c r="Q669" s="222">
        <f t="shared" si="255"/>
        <v>11720663760.810001</v>
      </c>
      <c r="R669" s="222">
        <f t="shared" si="264"/>
        <v>130251533.63</v>
      </c>
      <c r="AQ669" s="222"/>
      <c r="AS669" s="222"/>
    </row>
    <row r="670" spans="1:45" x14ac:dyDescent="0.25">
      <c r="A670" s="217"/>
      <c r="B670" s="218" t="s">
        <v>1211</v>
      </c>
      <c r="C670" s="219">
        <f>+C580</f>
        <v>199000000</v>
      </c>
      <c r="D670" s="219">
        <f>+D580</f>
        <v>0</v>
      </c>
      <c r="E670" s="219">
        <f>+E580</f>
        <v>0</v>
      </c>
      <c r="F670" s="219">
        <f>+F580</f>
        <v>11730696620.099998</v>
      </c>
      <c r="G670" s="219">
        <f t="shared" si="252"/>
        <v>11929696620.099998</v>
      </c>
      <c r="H670" s="219">
        <f>+H580</f>
        <v>1557530262</v>
      </c>
      <c r="I670" s="219">
        <f>+I580</f>
        <v>4854578658.71</v>
      </c>
      <c r="J670" s="219">
        <f t="shared" si="256"/>
        <v>7075117961.3899984</v>
      </c>
      <c r="K670" s="219">
        <f>+K580</f>
        <v>262158441.25999999</v>
      </c>
      <c r="L670" s="219">
        <f>+L580</f>
        <v>586388638.0999999</v>
      </c>
      <c r="M670" s="219">
        <f t="shared" si="253"/>
        <v>4268190020.6100001</v>
      </c>
      <c r="N670" s="219">
        <f>+N580</f>
        <v>1041177841</v>
      </c>
      <c r="O670" s="219">
        <f>+O580</f>
        <v>6923352332.8000002</v>
      </c>
      <c r="P670" s="219">
        <f t="shared" si="254"/>
        <v>2068773674.0900002</v>
      </c>
      <c r="Q670" s="219">
        <f t="shared" si="255"/>
        <v>5006344287.2999983</v>
      </c>
      <c r="R670" s="219">
        <f>+R580</f>
        <v>586388638.0999999</v>
      </c>
      <c r="AQ670" s="219"/>
      <c r="AS670" s="219"/>
    </row>
  </sheetData>
  <mergeCells count="5">
    <mergeCell ref="A1:R2"/>
    <mergeCell ref="A3:R4"/>
    <mergeCell ref="A5:R6"/>
    <mergeCell ref="D620:I621"/>
    <mergeCell ref="A663:A6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U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91" customFormat="1" ht="27" x14ac:dyDescent="0.5">
      <c r="A1" s="275" t="s">
        <v>1176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90"/>
      <c r="T1" s="273" t="s">
        <v>927</v>
      </c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190"/>
      <c r="AJ1" s="273" t="s">
        <v>927</v>
      </c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</row>
    <row r="2" spans="1:59" s="191" customFormat="1" ht="27" x14ac:dyDescent="0.5">
      <c r="A2" s="275" t="s">
        <v>1175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190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0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59" s="191" customFormat="1" ht="27" thickBot="1" x14ac:dyDescent="0.45">
      <c r="A3" s="276" t="s">
        <v>1089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90"/>
      <c r="T3" s="274" t="s">
        <v>1103</v>
      </c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190"/>
      <c r="AJ3" s="274" t="s">
        <v>1117</v>
      </c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</row>
    <row r="4" spans="1:59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1218</v>
      </c>
      <c r="P4" s="27" t="s">
        <v>776</v>
      </c>
      <c r="Q4" s="168"/>
      <c r="R4" s="56" t="s">
        <v>0</v>
      </c>
      <c r="S4" s="58" t="s">
        <v>1</v>
      </c>
      <c r="T4" s="163" t="s">
        <v>1090</v>
      </c>
      <c r="U4" s="163" t="s">
        <v>1091</v>
      </c>
      <c r="V4" s="163" t="s">
        <v>1092</v>
      </c>
      <c r="W4" s="163" t="s">
        <v>1093</v>
      </c>
      <c r="X4" s="163" t="s">
        <v>1094</v>
      </c>
      <c r="Y4" s="163" t="s">
        <v>1095</v>
      </c>
      <c r="Z4" s="163" t="s">
        <v>1096</v>
      </c>
      <c r="AA4" s="163" t="s">
        <v>1097</v>
      </c>
      <c r="AB4" s="163" t="s">
        <v>1098</v>
      </c>
      <c r="AC4" s="163" t="s">
        <v>1099</v>
      </c>
      <c r="AD4" s="163" t="s">
        <v>1100</v>
      </c>
      <c r="AE4" s="163" t="s">
        <v>1101</v>
      </c>
      <c r="AF4" s="163" t="s">
        <v>1102</v>
      </c>
      <c r="AG4" s="168"/>
      <c r="AH4" s="56" t="s">
        <v>0</v>
      </c>
      <c r="AI4" s="58" t="s">
        <v>1</v>
      </c>
      <c r="AJ4" s="172" t="s">
        <v>1104</v>
      </c>
      <c r="AK4" s="172" t="s">
        <v>1105</v>
      </c>
      <c r="AL4" s="172" t="s">
        <v>1106</v>
      </c>
      <c r="AM4" s="172" t="s">
        <v>1107</v>
      </c>
      <c r="AN4" s="172" t="s">
        <v>1108</v>
      </c>
      <c r="AO4" s="172" t="s">
        <v>1109</v>
      </c>
      <c r="AP4" s="172" t="s">
        <v>1110</v>
      </c>
      <c r="AQ4" s="172" t="s">
        <v>1111</v>
      </c>
      <c r="AR4" s="172" t="s">
        <v>1112</v>
      </c>
      <c r="AS4" s="172" t="s">
        <v>1113</v>
      </c>
      <c r="AT4" s="172" t="s">
        <v>1114</v>
      </c>
      <c r="AU4" s="172" t="s">
        <v>1115</v>
      </c>
      <c r="AV4" s="172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</row>
    <row r="5" spans="1:59" x14ac:dyDescent="0.25">
      <c r="A5" s="30">
        <v>0</v>
      </c>
      <c r="B5" s="31" t="s">
        <v>777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9"/>
      <c r="R5" s="60"/>
      <c r="S5" s="148" t="s">
        <v>777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61">
        <f t="shared" ref="W5:AE5" si="2">+W6+W87</f>
        <v>0</v>
      </c>
      <c r="X5" s="161">
        <f t="shared" si="2"/>
        <v>0</v>
      </c>
      <c r="Y5" s="161">
        <f t="shared" si="2"/>
        <v>0</v>
      </c>
      <c r="Z5" s="161">
        <f t="shared" si="2"/>
        <v>0</v>
      </c>
      <c r="AA5" s="161">
        <f t="shared" si="2"/>
        <v>0</v>
      </c>
      <c r="AB5" s="161">
        <f t="shared" si="2"/>
        <v>0</v>
      </c>
      <c r="AC5" s="161">
        <f t="shared" si="2"/>
        <v>0</v>
      </c>
      <c r="AD5" s="161">
        <f t="shared" si="2"/>
        <v>0</v>
      </c>
      <c r="AE5" s="161">
        <f t="shared" si="2"/>
        <v>0</v>
      </c>
      <c r="AF5" s="161">
        <f>SUM(T5:AE5)</f>
        <v>37683646705.480003</v>
      </c>
      <c r="AG5" s="169"/>
      <c r="AH5" s="60"/>
      <c r="AI5" s="148" t="s">
        <v>777</v>
      </c>
      <c r="AJ5" s="170">
        <f>(T5-C5)/C5</f>
        <v>0.80493990514778913</v>
      </c>
      <c r="AK5" s="170">
        <f t="shared" ref="AK5:AK81" si="3">(U5-D5)/D5</f>
        <v>-6.9884079192686832E-3</v>
      </c>
      <c r="AL5" s="170">
        <f t="shared" ref="AL5:AL81" si="4">(V5-E5)/E5</f>
        <v>0.46859050981089445</v>
      </c>
      <c r="AM5" s="170">
        <f t="shared" ref="AM5:AM81" si="5">(W5-F5)/F5</f>
        <v>-1</v>
      </c>
      <c r="AN5" s="170">
        <f t="shared" ref="AN5:AN81" si="6">(X5-G5)/G5</f>
        <v>-1</v>
      </c>
      <c r="AO5" s="170">
        <f t="shared" ref="AO5:AO81" si="7">(Y5-H5)/H5</f>
        <v>-1</v>
      </c>
      <c r="AP5" s="170">
        <f t="shared" ref="AP5:AP81" si="8">(Z5-I5)/I5</f>
        <v>-1</v>
      </c>
      <c r="AQ5" s="170">
        <f t="shared" ref="AQ5:AQ81" si="9">(AA5-J5)/J5</f>
        <v>-1</v>
      </c>
      <c r="AR5" s="170">
        <f t="shared" ref="AR5:AR81" si="10">(AB5-K5)/K5</f>
        <v>-1</v>
      </c>
      <c r="AS5" s="170">
        <f t="shared" ref="AS5:AS81" si="11">(AC5-L5)/L5</f>
        <v>-1</v>
      </c>
      <c r="AT5" s="170">
        <f t="shared" ref="AT5:AT81" si="12">(AD5-M5)/M5</f>
        <v>-1</v>
      </c>
      <c r="AU5" s="170">
        <f t="shared" ref="AU5:AU81" si="13">(AE5-N5)/N5</f>
        <v>-1</v>
      </c>
      <c r="AV5" s="170">
        <f t="shared" ref="AV5:AV81" si="14">(AF5-P5)/P5</f>
        <v>-0.74125229158285277</v>
      </c>
      <c r="AX5" s="60"/>
      <c r="AY5" s="61" t="s">
        <v>777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32">
        <f>+BF5-AF5</f>
        <v>14375416453.989998</v>
      </c>
    </row>
    <row r="6" spans="1:59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9"/>
      <c r="R6" s="60">
        <v>1</v>
      </c>
      <c r="S6" s="148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61">
        <f t="shared" ref="W6:AE6" si="17">+W7</f>
        <v>0</v>
      </c>
      <c r="X6" s="161">
        <f t="shared" si="17"/>
        <v>0</v>
      </c>
      <c r="Y6" s="161">
        <f t="shared" si="17"/>
        <v>0</v>
      </c>
      <c r="Z6" s="161">
        <f t="shared" si="17"/>
        <v>0</v>
      </c>
      <c r="AA6" s="161">
        <f t="shared" si="17"/>
        <v>0</v>
      </c>
      <c r="AB6" s="161">
        <f t="shared" si="17"/>
        <v>0</v>
      </c>
      <c r="AC6" s="161">
        <f t="shared" si="17"/>
        <v>0</v>
      </c>
      <c r="AD6" s="161">
        <f t="shared" si="17"/>
        <v>0</v>
      </c>
      <c r="AE6" s="161">
        <f t="shared" si="17"/>
        <v>0</v>
      </c>
      <c r="AF6" s="161">
        <f t="shared" ref="AF6:AF82" si="18">SUM(T6:AE6)</f>
        <v>33750162859</v>
      </c>
      <c r="AG6" s="169"/>
      <c r="AH6" s="60">
        <v>1</v>
      </c>
      <c r="AI6" s="148" t="s">
        <v>778</v>
      </c>
      <c r="AJ6" s="170">
        <f t="shared" ref="AJ6:AJ82" si="19">(T6-C6)/C6</f>
        <v>0.14512046203688347</v>
      </c>
      <c r="AK6" s="170">
        <f t="shared" si="3"/>
        <v>-9.6779127763621069E-3</v>
      </c>
      <c r="AL6" s="170">
        <f t="shared" si="4"/>
        <v>0.45559197767028337</v>
      </c>
      <c r="AM6" s="170">
        <f t="shared" si="5"/>
        <v>-1</v>
      </c>
      <c r="AN6" s="170">
        <f t="shared" si="6"/>
        <v>-1</v>
      </c>
      <c r="AO6" s="170">
        <f t="shared" si="7"/>
        <v>-1</v>
      </c>
      <c r="AP6" s="170">
        <f t="shared" si="8"/>
        <v>-1</v>
      </c>
      <c r="AQ6" s="170">
        <f t="shared" si="9"/>
        <v>-1</v>
      </c>
      <c r="AR6" s="170">
        <f t="shared" si="10"/>
        <v>-1</v>
      </c>
      <c r="AS6" s="170">
        <f t="shared" si="11"/>
        <v>-1</v>
      </c>
      <c r="AT6" s="170">
        <f t="shared" si="12"/>
        <v>-1</v>
      </c>
      <c r="AU6" s="170">
        <f t="shared" si="13"/>
        <v>-1</v>
      </c>
      <c r="AV6" s="170">
        <f t="shared" si="14"/>
        <v>-0.76759705425555591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32">
        <f t="shared" ref="BG6:BG69" si="21">+BF6-AF6</f>
        <v>91610170</v>
      </c>
    </row>
    <row r="7" spans="1:59" x14ac:dyDescent="0.25">
      <c r="A7" s="35">
        <v>102</v>
      </c>
      <c r="B7" s="36" t="s">
        <v>779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9"/>
      <c r="R7" s="61" t="s">
        <v>935</v>
      </c>
      <c r="S7" s="148" t="s">
        <v>779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61">
        <f t="shared" ref="W7:AE7" si="23">+W8+W17+W34+W75</f>
        <v>0</v>
      </c>
      <c r="X7" s="161">
        <f t="shared" si="23"/>
        <v>0</v>
      </c>
      <c r="Y7" s="161">
        <f t="shared" si="23"/>
        <v>0</v>
      </c>
      <c r="Z7" s="161">
        <f t="shared" si="23"/>
        <v>0</v>
      </c>
      <c r="AA7" s="161">
        <f t="shared" si="23"/>
        <v>0</v>
      </c>
      <c r="AB7" s="161">
        <f t="shared" si="23"/>
        <v>0</v>
      </c>
      <c r="AC7" s="161">
        <f t="shared" si="23"/>
        <v>0</v>
      </c>
      <c r="AD7" s="161">
        <f t="shared" si="23"/>
        <v>0</v>
      </c>
      <c r="AE7" s="161">
        <f t="shared" si="23"/>
        <v>0</v>
      </c>
      <c r="AF7" s="161">
        <f t="shared" si="18"/>
        <v>33750162859</v>
      </c>
      <c r="AG7" s="169"/>
      <c r="AH7" s="61" t="s">
        <v>935</v>
      </c>
      <c r="AI7" s="148" t="s">
        <v>779</v>
      </c>
      <c r="AJ7" s="170">
        <f t="shared" si="19"/>
        <v>0.14512046203688347</v>
      </c>
      <c r="AK7" s="170">
        <f t="shared" si="3"/>
        <v>-9.6779127763621069E-3</v>
      </c>
      <c r="AL7" s="170">
        <f t="shared" si="4"/>
        <v>0.45559197767028337</v>
      </c>
      <c r="AM7" s="170">
        <f t="shared" si="5"/>
        <v>-1</v>
      </c>
      <c r="AN7" s="170">
        <f t="shared" si="6"/>
        <v>-1</v>
      </c>
      <c r="AO7" s="170">
        <f t="shared" si="7"/>
        <v>-1</v>
      </c>
      <c r="AP7" s="170">
        <f t="shared" si="8"/>
        <v>-1</v>
      </c>
      <c r="AQ7" s="170">
        <f t="shared" si="9"/>
        <v>-1</v>
      </c>
      <c r="AR7" s="170">
        <f t="shared" si="10"/>
        <v>-1</v>
      </c>
      <c r="AS7" s="170">
        <f t="shared" si="11"/>
        <v>-1</v>
      </c>
      <c r="AT7" s="170">
        <f t="shared" si="12"/>
        <v>-1</v>
      </c>
      <c r="AU7" s="170">
        <f t="shared" si="13"/>
        <v>-1</v>
      </c>
      <c r="AV7" s="170">
        <f t="shared" si="14"/>
        <v>-0.76759705425555591</v>
      </c>
      <c r="AX7" s="61" t="s">
        <v>935</v>
      </c>
      <c r="AY7" s="61" t="s">
        <v>779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32">
        <f t="shared" si="21"/>
        <v>91610170</v>
      </c>
    </row>
    <row r="8" spans="1:59" x14ac:dyDescent="0.25">
      <c r="A8" s="35">
        <v>1021</v>
      </c>
      <c r="B8" s="36" t="s">
        <v>526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9"/>
      <c r="R8" s="66" t="s">
        <v>936</v>
      </c>
      <c r="S8" s="149" t="s">
        <v>526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61">
        <f t="shared" ref="W8:AE8" si="27">+W9</f>
        <v>0</v>
      </c>
      <c r="X8" s="161">
        <f t="shared" si="27"/>
        <v>0</v>
      </c>
      <c r="Y8" s="161">
        <f t="shared" si="27"/>
        <v>0</v>
      </c>
      <c r="Z8" s="161">
        <f t="shared" si="27"/>
        <v>0</v>
      </c>
      <c r="AA8" s="161">
        <f t="shared" si="27"/>
        <v>0</v>
      </c>
      <c r="AB8" s="161">
        <f t="shared" si="27"/>
        <v>0</v>
      </c>
      <c r="AC8" s="161">
        <f t="shared" si="27"/>
        <v>0</v>
      </c>
      <c r="AD8" s="161">
        <f t="shared" si="27"/>
        <v>0</v>
      </c>
      <c r="AE8" s="161">
        <f t="shared" si="27"/>
        <v>0</v>
      </c>
      <c r="AF8" s="161">
        <f t="shared" si="18"/>
        <v>2087536043</v>
      </c>
      <c r="AG8" s="169"/>
      <c r="AH8" s="66" t="s">
        <v>936</v>
      </c>
      <c r="AI8" s="149" t="s">
        <v>526</v>
      </c>
      <c r="AJ8" s="170" t="e">
        <f t="shared" si="19"/>
        <v>#DIV/0!</v>
      </c>
      <c r="AK8" s="170" t="e">
        <f t="shared" si="3"/>
        <v>#DIV/0!</v>
      </c>
      <c r="AL8" s="170">
        <f t="shared" si="4"/>
        <v>14.321365453211008</v>
      </c>
      <c r="AM8" s="170">
        <f t="shared" si="5"/>
        <v>-1</v>
      </c>
      <c r="AN8" s="170">
        <f t="shared" si="6"/>
        <v>-1</v>
      </c>
      <c r="AO8" s="170" t="e">
        <f t="shared" si="7"/>
        <v>#DIV/0!</v>
      </c>
      <c r="AP8" s="170" t="e">
        <f t="shared" si="8"/>
        <v>#DIV/0!</v>
      </c>
      <c r="AQ8" s="170">
        <f t="shared" si="9"/>
        <v>-1</v>
      </c>
      <c r="AR8" s="170" t="e">
        <f t="shared" si="10"/>
        <v>#DIV/0!</v>
      </c>
      <c r="AS8" s="170">
        <f t="shared" si="11"/>
        <v>-1</v>
      </c>
      <c r="AT8" s="170" t="e">
        <f t="shared" si="12"/>
        <v>#DIV/0!</v>
      </c>
      <c r="AU8" s="170" t="e">
        <f t="shared" si="13"/>
        <v>#DIV/0!</v>
      </c>
      <c r="AV8" s="170">
        <f t="shared" si="14"/>
        <v>-0.34236776034563299</v>
      </c>
      <c r="AX8" s="66" t="s">
        <v>936</v>
      </c>
      <c r="AY8" s="66" t="s">
        <v>526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32">
        <f t="shared" si="21"/>
        <v>0</v>
      </c>
    </row>
    <row r="9" spans="1:59" x14ac:dyDescent="0.25">
      <c r="A9" s="30">
        <v>102102</v>
      </c>
      <c r="B9" s="31" t="s">
        <v>780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9"/>
      <c r="R9" s="66" t="s">
        <v>937</v>
      </c>
      <c r="S9" s="149" t="s">
        <v>780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61">
        <f t="shared" ref="W9:AE11" si="29">+W10</f>
        <v>0</v>
      </c>
      <c r="X9" s="161">
        <f t="shared" si="29"/>
        <v>0</v>
      </c>
      <c r="Y9" s="161">
        <f t="shared" si="29"/>
        <v>0</v>
      </c>
      <c r="Z9" s="161">
        <f t="shared" si="29"/>
        <v>0</v>
      </c>
      <c r="AA9" s="161">
        <f t="shared" si="29"/>
        <v>0</v>
      </c>
      <c r="AB9" s="161">
        <f t="shared" si="29"/>
        <v>0</v>
      </c>
      <c r="AC9" s="161">
        <f t="shared" si="29"/>
        <v>0</v>
      </c>
      <c r="AD9" s="161">
        <f t="shared" si="29"/>
        <v>0</v>
      </c>
      <c r="AE9" s="161">
        <f t="shared" si="29"/>
        <v>0</v>
      </c>
      <c r="AF9" s="161">
        <f t="shared" si="18"/>
        <v>2087536043</v>
      </c>
      <c r="AG9" s="169"/>
      <c r="AH9" s="66" t="s">
        <v>937</v>
      </c>
      <c r="AI9" s="149" t="s">
        <v>780</v>
      </c>
      <c r="AJ9" s="170" t="e">
        <f t="shared" si="19"/>
        <v>#DIV/0!</v>
      </c>
      <c r="AK9" s="170" t="e">
        <f t="shared" si="3"/>
        <v>#DIV/0!</v>
      </c>
      <c r="AL9" s="170">
        <f t="shared" si="4"/>
        <v>14.321365453211008</v>
      </c>
      <c r="AM9" s="170">
        <f t="shared" si="5"/>
        <v>-1</v>
      </c>
      <c r="AN9" s="170">
        <f t="shared" si="6"/>
        <v>-1</v>
      </c>
      <c r="AO9" s="170" t="e">
        <f t="shared" si="7"/>
        <v>#DIV/0!</v>
      </c>
      <c r="AP9" s="170" t="e">
        <f t="shared" si="8"/>
        <v>#DIV/0!</v>
      </c>
      <c r="AQ9" s="170">
        <f t="shared" si="9"/>
        <v>-1</v>
      </c>
      <c r="AR9" s="170" t="e">
        <f t="shared" si="10"/>
        <v>#DIV/0!</v>
      </c>
      <c r="AS9" s="170">
        <f t="shared" si="11"/>
        <v>-1</v>
      </c>
      <c r="AT9" s="170" t="e">
        <f t="shared" si="12"/>
        <v>#DIV/0!</v>
      </c>
      <c r="AU9" s="170" t="e">
        <f t="shared" si="13"/>
        <v>#DIV/0!</v>
      </c>
      <c r="AV9" s="170">
        <f t="shared" si="14"/>
        <v>-0.34236776034563299</v>
      </c>
      <c r="AX9" s="66" t="s">
        <v>937</v>
      </c>
      <c r="AY9" s="66" t="s">
        <v>780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32">
        <f t="shared" si="21"/>
        <v>0</v>
      </c>
    </row>
    <row r="10" spans="1:59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9"/>
      <c r="R10" s="66" t="s">
        <v>938</v>
      </c>
      <c r="S10" s="149" t="s">
        <v>760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61">
        <f t="shared" si="29"/>
        <v>0</v>
      </c>
      <c r="X10" s="161">
        <f t="shared" si="29"/>
        <v>0</v>
      </c>
      <c r="Y10" s="161">
        <f t="shared" si="29"/>
        <v>0</v>
      </c>
      <c r="Z10" s="161">
        <f t="shared" si="29"/>
        <v>0</v>
      </c>
      <c r="AA10" s="161">
        <f t="shared" si="29"/>
        <v>0</v>
      </c>
      <c r="AB10" s="161">
        <f t="shared" si="29"/>
        <v>0</v>
      </c>
      <c r="AC10" s="161">
        <f t="shared" si="29"/>
        <v>0</v>
      </c>
      <c r="AD10" s="161">
        <f t="shared" si="29"/>
        <v>0</v>
      </c>
      <c r="AE10" s="161">
        <f t="shared" si="29"/>
        <v>0</v>
      </c>
      <c r="AF10" s="161">
        <f t="shared" si="18"/>
        <v>2087536043</v>
      </c>
      <c r="AG10" s="169"/>
      <c r="AH10" s="66" t="s">
        <v>938</v>
      </c>
      <c r="AI10" s="149" t="s">
        <v>760</v>
      </c>
      <c r="AJ10" s="170" t="e">
        <f t="shared" si="19"/>
        <v>#DIV/0!</v>
      </c>
      <c r="AK10" s="170" t="e">
        <f t="shared" si="3"/>
        <v>#DIV/0!</v>
      </c>
      <c r="AL10" s="170">
        <f t="shared" si="4"/>
        <v>14.321365453211008</v>
      </c>
      <c r="AM10" s="170">
        <f t="shared" si="5"/>
        <v>-1</v>
      </c>
      <c r="AN10" s="170">
        <f t="shared" si="6"/>
        <v>-1</v>
      </c>
      <c r="AO10" s="170" t="e">
        <f t="shared" si="7"/>
        <v>#DIV/0!</v>
      </c>
      <c r="AP10" s="170" t="e">
        <f t="shared" si="8"/>
        <v>#DIV/0!</v>
      </c>
      <c r="AQ10" s="170">
        <f t="shared" si="9"/>
        <v>-1</v>
      </c>
      <c r="AR10" s="170" t="e">
        <f t="shared" si="10"/>
        <v>#DIV/0!</v>
      </c>
      <c r="AS10" s="170">
        <f t="shared" si="11"/>
        <v>-1</v>
      </c>
      <c r="AT10" s="170" t="e">
        <f t="shared" si="12"/>
        <v>#DIV/0!</v>
      </c>
      <c r="AU10" s="170" t="e">
        <f t="shared" si="13"/>
        <v>#DIV/0!</v>
      </c>
      <c r="AV10" s="170">
        <f t="shared" si="14"/>
        <v>-0.34236776034563299</v>
      </c>
      <c r="AX10" s="66" t="s">
        <v>938</v>
      </c>
      <c r="AY10" s="66" t="s">
        <v>760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32">
        <f t="shared" si="21"/>
        <v>0</v>
      </c>
    </row>
    <row r="11" spans="1:59" x14ac:dyDescent="0.25">
      <c r="A11" s="35">
        <v>102102011</v>
      </c>
      <c r="B11" s="36" t="s">
        <v>760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9"/>
      <c r="R11" s="66" t="s">
        <v>939</v>
      </c>
      <c r="S11" s="149" t="s">
        <v>760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61">
        <f t="shared" si="29"/>
        <v>0</v>
      </c>
      <c r="X11" s="161">
        <f t="shared" si="29"/>
        <v>0</v>
      </c>
      <c r="Y11" s="161">
        <f t="shared" si="29"/>
        <v>0</v>
      </c>
      <c r="Z11" s="161">
        <f t="shared" si="29"/>
        <v>0</v>
      </c>
      <c r="AA11" s="161">
        <f t="shared" si="29"/>
        <v>0</v>
      </c>
      <c r="AB11" s="161">
        <f t="shared" si="29"/>
        <v>0</v>
      </c>
      <c r="AC11" s="161">
        <f t="shared" si="29"/>
        <v>0</v>
      </c>
      <c r="AD11" s="161">
        <f t="shared" si="29"/>
        <v>0</v>
      </c>
      <c r="AE11" s="161">
        <f t="shared" si="29"/>
        <v>0</v>
      </c>
      <c r="AF11" s="161">
        <f t="shared" si="18"/>
        <v>2087536043</v>
      </c>
      <c r="AG11" s="169"/>
      <c r="AH11" s="66" t="s">
        <v>939</v>
      </c>
      <c r="AI11" s="149" t="s">
        <v>760</v>
      </c>
      <c r="AJ11" s="170" t="e">
        <f t="shared" si="19"/>
        <v>#DIV/0!</v>
      </c>
      <c r="AK11" s="170" t="e">
        <f t="shared" si="3"/>
        <v>#DIV/0!</v>
      </c>
      <c r="AL11" s="170">
        <f t="shared" si="4"/>
        <v>14.321365453211008</v>
      </c>
      <c r="AM11" s="170">
        <f t="shared" si="5"/>
        <v>-1</v>
      </c>
      <c r="AN11" s="170">
        <f t="shared" si="6"/>
        <v>-1</v>
      </c>
      <c r="AO11" s="170" t="e">
        <f t="shared" si="7"/>
        <v>#DIV/0!</v>
      </c>
      <c r="AP11" s="170" t="e">
        <f t="shared" si="8"/>
        <v>#DIV/0!</v>
      </c>
      <c r="AQ11" s="170">
        <f t="shared" si="9"/>
        <v>-1</v>
      </c>
      <c r="AR11" s="170" t="e">
        <f t="shared" si="10"/>
        <v>#DIV/0!</v>
      </c>
      <c r="AS11" s="170">
        <f t="shared" si="11"/>
        <v>-1</v>
      </c>
      <c r="AT11" s="170" t="e">
        <f t="shared" si="12"/>
        <v>#DIV/0!</v>
      </c>
      <c r="AU11" s="170" t="e">
        <f t="shared" si="13"/>
        <v>#DIV/0!</v>
      </c>
      <c r="AV11" s="170">
        <f t="shared" si="14"/>
        <v>-0.34236776034563299</v>
      </c>
      <c r="AX11" s="66" t="s">
        <v>939</v>
      </c>
      <c r="AY11" s="66" t="s">
        <v>760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32">
        <f t="shared" si="21"/>
        <v>0</v>
      </c>
    </row>
    <row r="12" spans="1:59" x14ac:dyDescent="0.25">
      <c r="A12" s="35">
        <v>10210201101</v>
      </c>
      <c r="B12" s="36" t="s">
        <v>760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8"/>
      <c r="R12" s="69" t="s">
        <v>940</v>
      </c>
      <c r="S12" s="150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61">
        <f t="shared" ref="W12:AE12" si="33">+W13+W14</f>
        <v>0</v>
      </c>
      <c r="X12" s="161">
        <f t="shared" si="33"/>
        <v>0</v>
      </c>
      <c r="Y12" s="161">
        <f t="shared" si="33"/>
        <v>0</v>
      </c>
      <c r="Z12" s="161">
        <f t="shared" si="33"/>
        <v>0</v>
      </c>
      <c r="AA12" s="161">
        <f t="shared" si="33"/>
        <v>0</v>
      </c>
      <c r="AB12" s="161">
        <f t="shared" si="33"/>
        <v>0</v>
      </c>
      <c r="AC12" s="161">
        <f t="shared" si="33"/>
        <v>0</v>
      </c>
      <c r="AD12" s="161">
        <f t="shared" si="33"/>
        <v>0</v>
      </c>
      <c r="AE12" s="161">
        <f t="shared" si="33"/>
        <v>0</v>
      </c>
      <c r="AF12" s="161">
        <f t="shared" si="18"/>
        <v>2087536043</v>
      </c>
      <c r="AG12" s="168"/>
      <c r="AH12" s="69" t="s">
        <v>940</v>
      </c>
      <c r="AI12" s="150" t="s">
        <v>760</v>
      </c>
      <c r="AJ12" s="170" t="e">
        <f t="shared" si="19"/>
        <v>#DIV/0!</v>
      </c>
      <c r="AK12" s="170" t="e">
        <f t="shared" si="3"/>
        <v>#DIV/0!</v>
      </c>
      <c r="AL12" s="170">
        <f t="shared" si="4"/>
        <v>14.321365453211008</v>
      </c>
      <c r="AM12" s="170">
        <f t="shared" si="5"/>
        <v>-1</v>
      </c>
      <c r="AN12" s="170">
        <f t="shared" si="6"/>
        <v>-1</v>
      </c>
      <c r="AO12" s="170" t="e">
        <f t="shared" si="7"/>
        <v>#DIV/0!</v>
      </c>
      <c r="AP12" s="170" t="e">
        <f t="shared" si="8"/>
        <v>#DIV/0!</v>
      </c>
      <c r="AQ12" s="170">
        <f t="shared" si="9"/>
        <v>-1</v>
      </c>
      <c r="AR12" s="170" t="e">
        <f t="shared" si="10"/>
        <v>#DIV/0!</v>
      </c>
      <c r="AS12" s="170">
        <f t="shared" si="11"/>
        <v>-1</v>
      </c>
      <c r="AT12" s="170" t="e">
        <f t="shared" si="12"/>
        <v>#DIV/0!</v>
      </c>
      <c r="AU12" s="170" t="e">
        <f t="shared" si="13"/>
        <v>#DIV/0!</v>
      </c>
      <c r="AV12" s="170">
        <f t="shared" si="14"/>
        <v>-0.34236776034563299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32">
        <f t="shared" si="21"/>
        <v>0</v>
      </c>
    </row>
    <row r="13" spans="1:59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9"/>
      <c r="R13" s="72" t="s">
        <v>941</v>
      </c>
      <c r="S13" s="151" t="s">
        <v>942</v>
      </c>
      <c r="T13" s="162"/>
      <c r="U13" s="162"/>
      <c r="V13" s="162">
        <v>2085537957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f>SUM(T13:AE13)</f>
        <v>2085537957</v>
      </c>
      <c r="AG13" s="169"/>
      <c r="AH13" s="72" t="s">
        <v>941</v>
      </c>
      <c r="AI13" s="151" t="s">
        <v>942</v>
      </c>
      <c r="AJ13" s="171" t="e">
        <f t="shared" si="19"/>
        <v>#DIV/0!</v>
      </c>
      <c r="AK13" s="171" t="e">
        <f t="shared" si="3"/>
        <v>#DIV/0!</v>
      </c>
      <c r="AL13" s="171" t="e">
        <f t="shared" si="4"/>
        <v>#DIV/0!</v>
      </c>
      <c r="AM13" s="171">
        <f t="shared" si="5"/>
        <v>-1</v>
      </c>
      <c r="AN13" s="171" t="e">
        <f t="shared" si="6"/>
        <v>#DIV/0!</v>
      </c>
      <c r="AO13" s="171" t="e">
        <f t="shared" si="7"/>
        <v>#DIV/0!</v>
      </c>
      <c r="AP13" s="171" t="e">
        <f t="shared" si="8"/>
        <v>#DIV/0!</v>
      </c>
      <c r="AQ13" s="171" t="e">
        <f t="shared" si="9"/>
        <v>#DIV/0!</v>
      </c>
      <c r="AR13" s="171" t="e">
        <f t="shared" si="10"/>
        <v>#DIV/0!</v>
      </c>
      <c r="AS13" s="171" t="e">
        <f t="shared" si="11"/>
        <v>#DIV/0!</v>
      </c>
      <c r="AT13" s="171" t="e">
        <f t="shared" si="12"/>
        <v>#DIV/0!</v>
      </c>
      <c r="AU13" s="171" t="e">
        <f t="shared" si="13"/>
        <v>#DIV/0!</v>
      </c>
      <c r="AV13" s="171">
        <f t="shared" si="14"/>
        <v>-0.21576308338152289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32">
        <f t="shared" si="21"/>
        <v>0</v>
      </c>
    </row>
    <row r="14" spans="1:59" x14ac:dyDescent="0.25">
      <c r="A14" s="35">
        <v>1021020110102</v>
      </c>
      <c r="B14" s="36" t="s">
        <v>782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8"/>
      <c r="R14" s="79" t="s">
        <v>943</v>
      </c>
      <c r="S14" s="152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>
        <f t="shared" si="18"/>
        <v>1998086</v>
      </c>
      <c r="AG14" s="168"/>
      <c r="AH14" s="79" t="s">
        <v>943</v>
      </c>
      <c r="AI14" s="152" t="s">
        <v>944</v>
      </c>
      <c r="AJ14" s="170" t="e">
        <f t="shared" si="19"/>
        <v>#DIV/0!</v>
      </c>
      <c r="AK14" s="170" t="e">
        <f t="shared" si="3"/>
        <v>#DIV/0!</v>
      </c>
      <c r="AL14" s="170">
        <f t="shared" si="4"/>
        <v>-0.98533514862385319</v>
      </c>
      <c r="AM14" s="170" t="e">
        <f t="shared" si="5"/>
        <v>#DIV/0!</v>
      </c>
      <c r="AN14" s="170">
        <f t="shared" si="6"/>
        <v>-1</v>
      </c>
      <c r="AO14" s="170" t="e">
        <f t="shared" si="7"/>
        <v>#DIV/0!</v>
      </c>
      <c r="AP14" s="170" t="e">
        <f t="shared" si="8"/>
        <v>#DIV/0!</v>
      </c>
      <c r="AQ14" s="170">
        <f t="shared" si="9"/>
        <v>-1</v>
      </c>
      <c r="AR14" s="170" t="e">
        <f t="shared" si="10"/>
        <v>#DIV/0!</v>
      </c>
      <c r="AS14" s="170">
        <f t="shared" si="11"/>
        <v>-1</v>
      </c>
      <c r="AT14" s="170" t="e">
        <f t="shared" si="12"/>
        <v>#DIV/0!</v>
      </c>
      <c r="AU14" s="170" t="e">
        <f t="shared" si="13"/>
        <v>#DIV/0!</v>
      </c>
      <c r="AV14" s="170">
        <f t="shared" si="14"/>
        <v>-0.99612022135922329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32">
        <f t="shared" si="21"/>
        <v>0</v>
      </c>
    </row>
    <row r="15" spans="1:59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8"/>
      <c r="R15" s="82" t="s">
        <v>945</v>
      </c>
      <c r="S15" s="153" t="s">
        <v>783</v>
      </c>
      <c r="T15" s="162"/>
      <c r="U15" s="162">
        <f>+U16</f>
        <v>0</v>
      </c>
      <c r="V15" s="162">
        <v>1998086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f t="shared" si="18"/>
        <v>1998086</v>
      </c>
      <c r="AG15" s="168"/>
      <c r="AH15" s="82" t="s">
        <v>945</v>
      </c>
      <c r="AI15" s="153" t="s">
        <v>783</v>
      </c>
      <c r="AJ15" s="171" t="e">
        <f t="shared" si="19"/>
        <v>#DIV/0!</v>
      </c>
      <c r="AK15" s="171" t="e">
        <f t="shared" si="3"/>
        <v>#DIV/0!</v>
      </c>
      <c r="AL15" s="171">
        <f t="shared" si="4"/>
        <v>-0.98001914000000001</v>
      </c>
      <c r="AM15" s="171" t="e">
        <f t="shared" si="5"/>
        <v>#DIV/0!</v>
      </c>
      <c r="AN15" s="171">
        <f t="shared" si="6"/>
        <v>-1</v>
      </c>
      <c r="AO15" s="171" t="e">
        <f t="shared" si="7"/>
        <v>#DIV/0!</v>
      </c>
      <c r="AP15" s="171" t="e">
        <f t="shared" si="8"/>
        <v>#DIV/0!</v>
      </c>
      <c r="AQ15" s="171" t="e">
        <f t="shared" si="9"/>
        <v>#DIV/0!</v>
      </c>
      <c r="AR15" s="171" t="e">
        <f t="shared" si="10"/>
        <v>#DIV/0!</v>
      </c>
      <c r="AS15" s="171">
        <f t="shared" si="11"/>
        <v>-1</v>
      </c>
      <c r="AT15" s="171" t="e">
        <f t="shared" si="12"/>
        <v>#DIV/0!</v>
      </c>
      <c r="AU15" s="171" t="e">
        <f t="shared" si="13"/>
        <v>#DIV/0!</v>
      </c>
      <c r="AV15" s="171">
        <f t="shared" si="14"/>
        <v>-0.99459976756756752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32">
        <f t="shared" si="21"/>
        <v>0</v>
      </c>
    </row>
    <row r="16" spans="1:59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9"/>
      <c r="R16" s="82" t="s">
        <v>946</v>
      </c>
      <c r="S16" s="153" t="s">
        <v>784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f t="shared" si="18"/>
        <v>0</v>
      </c>
      <c r="AG16" s="169"/>
      <c r="AH16" s="82" t="s">
        <v>946</v>
      </c>
      <c r="AI16" s="153" t="s">
        <v>784</v>
      </c>
      <c r="AJ16" s="171" t="e">
        <f t="shared" si="19"/>
        <v>#DIV/0!</v>
      </c>
      <c r="AK16" s="171" t="e">
        <f t="shared" si="3"/>
        <v>#DIV/0!</v>
      </c>
      <c r="AL16" s="171">
        <f t="shared" si="4"/>
        <v>-1</v>
      </c>
      <c r="AM16" s="171" t="e">
        <f t="shared" si="5"/>
        <v>#DIV/0!</v>
      </c>
      <c r="AN16" s="171">
        <f t="shared" si="6"/>
        <v>-1</v>
      </c>
      <c r="AO16" s="171" t="e">
        <f t="shared" si="7"/>
        <v>#DIV/0!</v>
      </c>
      <c r="AP16" s="171" t="e">
        <f t="shared" si="8"/>
        <v>#DIV/0!</v>
      </c>
      <c r="AQ16" s="171">
        <f t="shared" si="9"/>
        <v>-1</v>
      </c>
      <c r="AR16" s="171" t="e">
        <f t="shared" si="10"/>
        <v>#DIV/0!</v>
      </c>
      <c r="AS16" s="171">
        <f t="shared" si="11"/>
        <v>-1</v>
      </c>
      <c r="AT16" s="171" t="e">
        <f t="shared" si="12"/>
        <v>#DIV/0!</v>
      </c>
      <c r="AU16" s="171" t="e">
        <f t="shared" si="13"/>
        <v>#DIV/0!</v>
      </c>
      <c r="AV16" s="171">
        <f t="shared" si="14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32">
        <f t="shared" si="21"/>
        <v>0</v>
      </c>
    </row>
    <row r="17" spans="1:59" x14ac:dyDescent="0.25">
      <c r="A17" s="30">
        <v>1022</v>
      </c>
      <c r="B17" s="31" t="s">
        <v>521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9"/>
      <c r="R17" s="66" t="s">
        <v>947</v>
      </c>
      <c r="S17" s="149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61">
        <f t="shared" ref="W17:AE17" si="39">+W22</f>
        <v>0</v>
      </c>
      <c r="X17" s="161">
        <f t="shared" si="39"/>
        <v>0</v>
      </c>
      <c r="Y17" s="161">
        <f t="shared" si="39"/>
        <v>0</v>
      </c>
      <c r="Z17" s="161">
        <f t="shared" si="39"/>
        <v>0</v>
      </c>
      <c r="AA17" s="161">
        <f t="shared" si="39"/>
        <v>0</v>
      </c>
      <c r="AB17" s="161">
        <f t="shared" si="39"/>
        <v>0</v>
      </c>
      <c r="AC17" s="161">
        <f t="shared" si="39"/>
        <v>0</v>
      </c>
      <c r="AD17" s="161">
        <f t="shared" si="39"/>
        <v>0</v>
      </c>
      <c r="AE17" s="161">
        <f t="shared" si="39"/>
        <v>0</v>
      </c>
      <c r="AF17" s="161">
        <f t="shared" si="18"/>
        <v>5321202925</v>
      </c>
      <c r="AG17" s="169"/>
      <c r="AH17" s="66" t="s">
        <v>947</v>
      </c>
      <c r="AI17" s="149" t="s">
        <v>521</v>
      </c>
      <c r="AJ17" s="170">
        <f t="shared" si="19"/>
        <v>115.61019611629004</v>
      </c>
      <c r="AK17" s="170">
        <f t="shared" si="3"/>
        <v>0.11403319345436083</v>
      </c>
      <c r="AL17" s="170">
        <f t="shared" si="4"/>
        <v>-0.69940418962355588</v>
      </c>
      <c r="AM17" s="170">
        <f t="shared" si="5"/>
        <v>-1</v>
      </c>
      <c r="AN17" s="170">
        <f t="shared" si="6"/>
        <v>-1</v>
      </c>
      <c r="AO17" s="170">
        <f t="shared" si="7"/>
        <v>-1</v>
      </c>
      <c r="AP17" s="170">
        <f t="shared" si="8"/>
        <v>-1</v>
      </c>
      <c r="AQ17" s="170">
        <f t="shared" si="9"/>
        <v>-1</v>
      </c>
      <c r="AR17" s="170">
        <f t="shared" si="10"/>
        <v>-1</v>
      </c>
      <c r="AS17" s="170">
        <f t="shared" si="11"/>
        <v>-1</v>
      </c>
      <c r="AT17" s="170">
        <f t="shared" si="12"/>
        <v>-1</v>
      </c>
      <c r="AU17" s="170">
        <f t="shared" si="13"/>
        <v>-1</v>
      </c>
      <c r="AV17" s="170">
        <f t="shared" si="14"/>
        <v>-0.87942562405483293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32">
        <f t="shared" si="21"/>
        <v>3888000</v>
      </c>
    </row>
    <row r="18" spans="1:59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9"/>
      <c r="R18" s="66"/>
      <c r="S18" s="149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9"/>
      <c r="AH18" s="66"/>
      <c r="AI18" s="149"/>
      <c r="AJ18" s="170" t="e">
        <f t="shared" ref="AJ18:AU21" si="44">(T18-C18)/C18</f>
        <v>#DIV/0!</v>
      </c>
      <c r="AK18" s="170" t="e">
        <f t="shared" si="44"/>
        <v>#DIV/0!</v>
      </c>
      <c r="AL18" s="170" t="e">
        <f t="shared" si="44"/>
        <v>#DIV/0!</v>
      </c>
      <c r="AM18" s="170" t="e">
        <f t="shared" si="44"/>
        <v>#DIV/0!</v>
      </c>
      <c r="AN18" s="170" t="e">
        <f t="shared" si="44"/>
        <v>#DIV/0!</v>
      </c>
      <c r="AO18" s="170" t="e">
        <f t="shared" si="44"/>
        <v>#DIV/0!</v>
      </c>
      <c r="AP18" s="170" t="e">
        <f t="shared" si="44"/>
        <v>#DIV/0!</v>
      </c>
      <c r="AQ18" s="170" t="e">
        <f t="shared" si="44"/>
        <v>#DIV/0!</v>
      </c>
      <c r="AR18" s="170" t="e">
        <f t="shared" si="44"/>
        <v>#DIV/0!</v>
      </c>
      <c r="AS18" s="170" t="e">
        <f t="shared" si="44"/>
        <v>#DIV/0!</v>
      </c>
      <c r="AT18" s="170" t="e">
        <f t="shared" si="44"/>
        <v>#DIV/0!</v>
      </c>
      <c r="AU18" s="170" t="e">
        <f t="shared" si="44"/>
        <v>#DIV/0!</v>
      </c>
      <c r="AV18" s="170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32">
        <f t="shared" si="21"/>
        <v>0</v>
      </c>
    </row>
    <row r="19" spans="1:59" x14ac:dyDescent="0.25">
      <c r="A19" s="30" t="s">
        <v>949</v>
      </c>
      <c r="B19" s="31" t="s">
        <v>785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9"/>
      <c r="R19" s="66"/>
      <c r="S19" s="149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9"/>
      <c r="AH19" s="66"/>
      <c r="AI19" s="149"/>
      <c r="AJ19" s="170" t="e">
        <f t="shared" si="44"/>
        <v>#DIV/0!</v>
      </c>
      <c r="AK19" s="170" t="e">
        <f t="shared" si="44"/>
        <v>#DIV/0!</v>
      </c>
      <c r="AL19" s="170" t="e">
        <f t="shared" si="44"/>
        <v>#DIV/0!</v>
      </c>
      <c r="AM19" s="170" t="e">
        <f t="shared" si="44"/>
        <v>#DIV/0!</v>
      </c>
      <c r="AN19" s="170" t="e">
        <f t="shared" si="44"/>
        <v>#DIV/0!</v>
      </c>
      <c r="AO19" s="170" t="e">
        <f t="shared" si="44"/>
        <v>#DIV/0!</v>
      </c>
      <c r="AP19" s="170" t="e">
        <f t="shared" si="44"/>
        <v>#DIV/0!</v>
      </c>
      <c r="AQ19" s="170" t="e">
        <f t="shared" si="44"/>
        <v>#DIV/0!</v>
      </c>
      <c r="AR19" s="170" t="e">
        <f t="shared" si="44"/>
        <v>#DIV/0!</v>
      </c>
      <c r="AS19" s="170" t="e">
        <f t="shared" si="44"/>
        <v>#DIV/0!</v>
      </c>
      <c r="AT19" s="170" t="e">
        <f t="shared" si="44"/>
        <v>#DIV/0!</v>
      </c>
      <c r="AU19" s="170" t="e">
        <f t="shared" si="44"/>
        <v>#DIV/0!</v>
      </c>
      <c r="AV19" s="170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32">
        <f t="shared" si="21"/>
        <v>0</v>
      </c>
    </row>
    <row r="20" spans="1:59" x14ac:dyDescent="0.25">
      <c r="A20" s="30" t="s">
        <v>950</v>
      </c>
      <c r="B20" s="31" t="s">
        <v>785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9"/>
      <c r="R20" s="66"/>
      <c r="S20" s="149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9"/>
      <c r="AH20" s="66"/>
      <c r="AI20" s="149"/>
      <c r="AJ20" s="170" t="e">
        <f t="shared" si="44"/>
        <v>#DIV/0!</v>
      </c>
      <c r="AK20" s="170" t="e">
        <f t="shared" si="44"/>
        <v>#DIV/0!</v>
      </c>
      <c r="AL20" s="170" t="e">
        <f t="shared" si="44"/>
        <v>#DIV/0!</v>
      </c>
      <c r="AM20" s="170" t="e">
        <f t="shared" si="44"/>
        <v>#DIV/0!</v>
      </c>
      <c r="AN20" s="170" t="e">
        <f t="shared" si="44"/>
        <v>#DIV/0!</v>
      </c>
      <c r="AO20" s="170" t="e">
        <f t="shared" si="44"/>
        <v>#DIV/0!</v>
      </c>
      <c r="AP20" s="170" t="e">
        <f t="shared" si="44"/>
        <v>#DIV/0!</v>
      </c>
      <c r="AQ20" s="170" t="e">
        <f t="shared" si="44"/>
        <v>#DIV/0!</v>
      </c>
      <c r="AR20" s="170" t="e">
        <f t="shared" si="44"/>
        <v>#DIV/0!</v>
      </c>
      <c r="AS20" s="170" t="e">
        <f t="shared" si="44"/>
        <v>#DIV/0!</v>
      </c>
      <c r="AT20" s="170" t="e">
        <f t="shared" si="44"/>
        <v>#DIV/0!</v>
      </c>
      <c r="AU20" s="170" t="e">
        <f t="shared" si="44"/>
        <v>#DIV/0!</v>
      </c>
      <c r="AV20" s="170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32">
        <f t="shared" si="21"/>
        <v>0</v>
      </c>
    </row>
    <row r="21" spans="1:59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8"/>
      <c r="R21" s="82"/>
      <c r="S21" s="153"/>
      <c r="T21" s="162"/>
      <c r="U21" s="162">
        <v>1696000</v>
      </c>
      <c r="V21" s="162">
        <v>2192000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f t="shared" si="18"/>
        <v>3888000</v>
      </c>
      <c r="AG21" s="168"/>
      <c r="AH21" s="82"/>
      <c r="AI21" s="153"/>
      <c r="AJ21" s="171" t="e">
        <f t="shared" si="44"/>
        <v>#DIV/0!</v>
      </c>
      <c r="AK21" s="171" t="e">
        <f t="shared" si="44"/>
        <v>#DIV/0!</v>
      </c>
      <c r="AL21" s="171" t="e">
        <f t="shared" si="44"/>
        <v>#DIV/0!</v>
      </c>
      <c r="AM21" s="171" t="e">
        <f t="shared" si="44"/>
        <v>#DIV/0!</v>
      </c>
      <c r="AN21" s="171" t="e">
        <f t="shared" si="44"/>
        <v>#DIV/0!</v>
      </c>
      <c r="AO21" s="171" t="e">
        <f t="shared" si="44"/>
        <v>#DIV/0!</v>
      </c>
      <c r="AP21" s="171" t="e">
        <f t="shared" si="44"/>
        <v>#DIV/0!</v>
      </c>
      <c r="AQ21" s="171" t="e">
        <f t="shared" si="44"/>
        <v>#DIV/0!</v>
      </c>
      <c r="AR21" s="171" t="e">
        <f t="shared" si="44"/>
        <v>#DIV/0!</v>
      </c>
      <c r="AS21" s="171" t="e">
        <f t="shared" si="44"/>
        <v>#DIV/0!</v>
      </c>
      <c r="AT21" s="171" t="e">
        <f t="shared" si="44"/>
        <v>#DIV/0!</v>
      </c>
      <c r="AU21" s="171" t="e">
        <f t="shared" si="44"/>
        <v>#DIV/0!</v>
      </c>
      <c r="AV21" s="171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32">
        <f t="shared" si="21"/>
        <v>0</v>
      </c>
    </row>
    <row r="22" spans="1:59" x14ac:dyDescent="0.25">
      <c r="A22" s="30">
        <v>102202</v>
      </c>
      <c r="B22" s="31" t="s">
        <v>787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9"/>
      <c r="R22" s="66" t="s">
        <v>952</v>
      </c>
      <c r="S22" s="149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61">
        <f t="shared" ref="W22:AE22" si="48">+W23</f>
        <v>0</v>
      </c>
      <c r="X22" s="161">
        <f t="shared" si="48"/>
        <v>0</v>
      </c>
      <c r="Y22" s="161">
        <f t="shared" si="48"/>
        <v>0</v>
      </c>
      <c r="Z22" s="161">
        <f t="shared" si="48"/>
        <v>0</v>
      </c>
      <c r="AA22" s="161">
        <f t="shared" si="48"/>
        <v>0</v>
      </c>
      <c r="AB22" s="161">
        <f t="shared" si="48"/>
        <v>0</v>
      </c>
      <c r="AC22" s="161">
        <f t="shared" si="48"/>
        <v>0</v>
      </c>
      <c r="AD22" s="161">
        <f t="shared" si="48"/>
        <v>0</v>
      </c>
      <c r="AE22" s="161">
        <f t="shared" si="48"/>
        <v>0</v>
      </c>
      <c r="AF22" s="161">
        <f t="shared" si="18"/>
        <v>5321202925</v>
      </c>
      <c r="AG22" s="169"/>
      <c r="AH22" s="66" t="s">
        <v>952</v>
      </c>
      <c r="AI22" s="149" t="s">
        <v>787</v>
      </c>
      <c r="AJ22" s="170">
        <f t="shared" si="19"/>
        <v>115.61019611629004</v>
      </c>
      <c r="AK22" s="170">
        <f t="shared" si="3"/>
        <v>0.11403319345436083</v>
      </c>
      <c r="AL22" s="170">
        <f t="shared" si="4"/>
        <v>-0.69940418962355588</v>
      </c>
      <c r="AM22" s="170">
        <f t="shared" si="5"/>
        <v>-1</v>
      </c>
      <c r="AN22" s="170">
        <f t="shared" si="6"/>
        <v>-1</v>
      </c>
      <c r="AO22" s="170">
        <f t="shared" si="7"/>
        <v>-1</v>
      </c>
      <c r="AP22" s="170">
        <f t="shared" si="8"/>
        <v>-1</v>
      </c>
      <c r="AQ22" s="170">
        <f t="shared" si="9"/>
        <v>-1</v>
      </c>
      <c r="AR22" s="170">
        <f t="shared" si="10"/>
        <v>-1</v>
      </c>
      <c r="AS22" s="170">
        <f t="shared" si="11"/>
        <v>-1</v>
      </c>
      <c r="AT22" s="170">
        <f t="shared" si="12"/>
        <v>-1</v>
      </c>
      <c r="AU22" s="170">
        <f t="shared" si="13"/>
        <v>-1</v>
      </c>
      <c r="AV22" s="170">
        <f t="shared" si="14"/>
        <v>-0.87942562405483293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32">
        <f t="shared" si="21"/>
        <v>0</v>
      </c>
    </row>
    <row r="23" spans="1:59" x14ac:dyDescent="0.25">
      <c r="A23" s="35">
        <v>10220201</v>
      </c>
      <c r="B23" s="36" t="s">
        <v>487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9"/>
      <c r="R23" s="66" t="s">
        <v>953</v>
      </c>
      <c r="S23" s="149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61">
        <f t="shared" ref="W23:AE23" si="51">+W24+W29</f>
        <v>0</v>
      </c>
      <c r="X23" s="161">
        <f t="shared" si="51"/>
        <v>0</v>
      </c>
      <c r="Y23" s="161">
        <f t="shared" si="51"/>
        <v>0</v>
      </c>
      <c r="Z23" s="161">
        <f t="shared" si="51"/>
        <v>0</v>
      </c>
      <c r="AA23" s="161">
        <f t="shared" si="51"/>
        <v>0</v>
      </c>
      <c r="AB23" s="161">
        <f t="shared" si="51"/>
        <v>0</v>
      </c>
      <c r="AC23" s="161">
        <f t="shared" si="51"/>
        <v>0</v>
      </c>
      <c r="AD23" s="161">
        <f t="shared" si="51"/>
        <v>0</v>
      </c>
      <c r="AE23" s="161">
        <f t="shared" si="51"/>
        <v>0</v>
      </c>
      <c r="AF23" s="161">
        <f t="shared" si="18"/>
        <v>5321202925</v>
      </c>
      <c r="AG23" s="169"/>
      <c r="AH23" s="66" t="s">
        <v>953</v>
      </c>
      <c r="AI23" s="149" t="s">
        <v>954</v>
      </c>
      <c r="AJ23" s="170">
        <f t="shared" si="19"/>
        <v>115.61019611629004</v>
      </c>
      <c r="AK23" s="170">
        <f t="shared" si="3"/>
        <v>0.11403319345436083</v>
      </c>
      <c r="AL23" s="170">
        <f t="shared" si="4"/>
        <v>-0.69940418962355588</v>
      </c>
      <c r="AM23" s="170">
        <f t="shared" si="5"/>
        <v>-1</v>
      </c>
      <c r="AN23" s="170">
        <f t="shared" si="6"/>
        <v>-1</v>
      </c>
      <c r="AO23" s="170">
        <f t="shared" si="7"/>
        <v>-1</v>
      </c>
      <c r="AP23" s="170">
        <f t="shared" si="8"/>
        <v>-1</v>
      </c>
      <c r="AQ23" s="170">
        <f t="shared" si="9"/>
        <v>-1</v>
      </c>
      <c r="AR23" s="170">
        <f t="shared" si="10"/>
        <v>-1</v>
      </c>
      <c r="AS23" s="170">
        <f t="shared" si="11"/>
        <v>-1</v>
      </c>
      <c r="AT23" s="170">
        <f t="shared" si="12"/>
        <v>-1</v>
      </c>
      <c r="AU23" s="170">
        <f t="shared" si="13"/>
        <v>-1</v>
      </c>
      <c r="AV23" s="170">
        <f t="shared" si="14"/>
        <v>-0.87942562405483293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32">
        <f t="shared" si="21"/>
        <v>0</v>
      </c>
    </row>
    <row r="24" spans="1:59" x14ac:dyDescent="0.25">
      <c r="A24" s="35">
        <v>102202011</v>
      </c>
      <c r="B24" s="36" t="s">
        <v>788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8"/>
      <c r="R24" s="69" t="s">
        <v>955</v>
      </c>
      <c r="S24" s="150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61">
        <f t="shared" ref="W24:AE24" si="54">+W25+W26+W27+W28</f>
        <v>0</v>
      </c>
      <c r="X24" s="161">
        <f t="shared" si="54"/>
        <v>0</v>
      </c>
      <c r="Y24" s="161">
        <f t="shared" si="54"/>
        <v>0</v>
      </c>
      <c r="Z24" s="161">
        <f t="shared" si="54"/>
        <v>0</v>
      </c>
      <c r="AA24" s="161">
        <f t="shared" si="54"/>
        <v>0</v>
      </c>
      <c r="AB24" s="161">
        <f t="shared" si="54"/>
        <v>0</v>
      </c>
      <c r="AC24" s="161">
        <f t="shared" si="54"/>
        <v>0</v>
      </c>
      <c r="AD24" s="161">
        <f t="shared" si="54"/>
        <v>0</v>
      </c>
      <c r="AE24" s="161">
        <f t="shared" si="54"/>
        <v>0</v>
      </c>
      <c r="AF24" s="161">
        <f t="shared" si="18"/>
        <v>3352150910</v>
      </c>
      <c r="AG24" s="168"/>
      <c r="AH24" s="69" t="s">
        <v>955</v>
      </c>
      <c r="AI24" s="150" t="s">
        <v>956</v>
      </c>
      <c r="AJ24" s="170" t="e">
        <f t="shared" si="19"/>
        <v>#DIV/0!</v>
      </c>
      <c r="AK24" s="170">
        <f t="shared" si="3"/>
        <v>0.51881933810628167</v>
      </c>
      <c r="AL24" s="170">
        <f t="shared" si="4"/>
        <v>-0.81570967424293372</v>
      </c>
      <c r="AM24" s="170">
        <f t="shared" si="5"/>
        <v>-1</v>
      </c>
      <c r="AN24" s="170">
        <f t="shared" si="6"/>
        <v>-1</v>
      </c>
      <c r="AO24" s="170">
        <f t="shared" si="7"/>
        <v>-1</v>
      </c>
      <c r="AP24" s="170">
        <f t="shared" si="8"/>
        <v>-1</v>
      </c>
      <c r="AQ24" s="170">
        <f t="shared" si="9"/>
        <v>-1</v>
      </c>
      <c r="AR24" s="170">
        <f t="shared" si="10"/>
        <v>-1</v>
      </c>
      <c r="AS24" s="170">
        <f t="shared" si="11"/>
        <v>-1</v>
      </c>
      <c r="AT24" s="170">
        <f t="shared" si="12"/>
        <v>-1</v>
      </c>
      <c r="AU24" s="170">
        <f t="shared" si="13"/>
        <v>-1</v>
      </c>
      <c r="AV24" s="170">
        <f t="shared" si="14"/>
        <v>-0.90570411990006705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32">
        <f t="shared" si="21"/>
        <v>0</v>
      </c>
    </row>
    <row r="25" spans="1:59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8"/>
      <c r="R25" s="82" t="s">
        <v>957</v>
      </c>
      <c r="S25" s="153" t="s">
        <v>958</v>
      </c>
      <c r="T25" s="162">
        <v>717944000</v>
      </c>
      <c r="U25" s="162">
        <v>198293000</v>
      </c>
      <c r="V25" s="162">
        <v>1632000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f t="shared" si="18"/>
        <v>917869000</v>
      </c>
      <c r="AG25" s="168"/>
      <c r="AH25" s="82" t="s">
        <v>957</v>
      </c>
      <c r="AI25" s="153" t="s">
        <v>958</v>
      </c>
      <c r="AJ25" s="171" t="e">
        <f t="shared" si="19"/>
        <v>#DIV/0!</v>
      </c>
      <c r="AK25" s="171" t="e">
        <f t="shared" si="3"/>
        <v>#DIV/0!</v>
      </c>
      <c r="AL25" s="171" t="e">
        <f t="shared" si="4"/>
        <v>#DIV/0!</v>
      </c>
      <c r="AM25" s="171" t="e">
        <f t="shared" si="5"/>
        <v>#DIV/0!</v>
      </c>
      <c r="AN25" s="171" t="e">
        <f t="shared" si="6"/>
        <v>#DIV/0!</v>
      </c>
      <c r="AO25" s="171">
        <f t="shared" si="7"/>
        <v>-1</v>
      </c>
      <c r="AP25" s="171" t="e">
        <f t="shared" si="8"/>
        <v>#DIV/0!</v>
      </c>
      <c r="AQ25" s="171" t="e">
        <f t="shared" si="9"/>
        <v>#DIV/0!</v>
      </c>
      <c r="AR25" s="171" t="e">
        <f t="shared" si="10"/>
        <v>#DIV/0!</v>
      </c>
      <c r="AS25" s="171" t="e">
        <f t="shared" si="11"/>
        <v>#DIV/0!</v>
      </c>
      <c r="AT25" s="171">
        <f t="shared" si="12"/>
        <v>-1</v>
      </c>
      <c r="AU25" s="171" t="e">
        <f t="shared" si="13"/>
        <v>#DIV/0!</v>
      </c>
      <c r="AV25" s="171">
        <f t="shared" si="14"/>
        <v>-0.46007705882352939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32">
        <f t="shared" si="21"/>
        <v>0</v>
      </c>
    </row>
    <row r="26" spans="1:59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8"/>
      <c r="R26" s="84" t="s">
        <v>959</v>
      </c>
      <c r="S26" s="154" t="s">
        <v>790</v>
      </c>
      <c r="T26" s="162">
        <v>12728000</v>
      </c>
      <c r="U26" s="162">
        <v>112266217</v>
      </c>
      <c r="V26" s="162">
        <v>152739600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>
        <f t="shared" si="18"/>
        <v>277733817</v>
      </c>
      <c r="AG26" s="168"/>
      <c r="AH26" s="84" t="s">
        <v>959</v>
      </c>
      <c r="AI26" s="154" t="s">
        <v>790</v>
      </c>
      <c r="AJ26" s="171" t="e">
        <f t="shared" si="19"/>
        <v>#DIV/0!</v>
      </c>
      <c r="AK26" s="171">
        <f t="shared" si="3"/>
        <v>1.3794273926020693</v>
      </c>
      <c r="AL26" s="171">
        <f t="shared" si="4"/>
        <v>-0.32376126422033746</v>
      </c>
      <c r="AM26" s="171">
        <f t="shared" si="5"/>
        <v>-1</v>
      </c>
      <c r="AN26" s="171" t="e">
        <f t="shared" si="6"/>
        <v>#DIV/0!</v>
      </c>
      <c r="AO26" s="171">
        <f t="shared" si="7"/>
        <v>-1</v>
      </c>
      <c r="AP26" s="171">
        <f t="shared" si="8"/>
        <v>-1</v>
      </c>
      <c r="AQ26" s="171">
        <f t="shared" si="9"/>
        <v>-1</v>
      </c>
      <c r="AR26" s="171">
        <f t="shared" si="10"/>
        <v>-1</v>
      </c>
      <c r="AS26" s="171" t="e">
        <f t="shared" si="11"/>
        <v>#DIV/0!</v>
      </c>
      <c r="AT26" s="171" t="e">
        <f t="shared" si="12"/>
        <v>#DIV/0!</v>
      </c>
      <c r="AU26" s="171">
        <f t="shared" si="13"/>
        <v>-1</v>
      </c>
      <c r="AV26" s="171">
        <f t="shared" si="14"/>
        <v>-0.69777295165346565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32">
        <f t="shared" si="21"/>
        <v>0</v>
      </c>
    </row>
    <row r="27" spans="1:59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8"/>
      <c r="R27" s="82" t="s">
        <v>960</v>
      </c>
      <c r="S27" s="154" t="s">
        <v>791</v>
      </c>
      <c r="T27" s="162">
        <v>40123280</v>
      </c>
      <c r="U27" s="162">
        <v>1851323875</v>
      </c>
      <c r="V27" s="162">
        <v>81959986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f t="shared" si="18"/>
        <v>1973407141</v>
      </c>
      <c r="AG27" s="168"/>
      <c r="AH27" s="82" t="s">
        <v>960</v>
      </c>
      <c r="AI27" s="154" t="s">
        <v>791</v>
      </c>
      <c r="AJ27" s="171" t="e">
        <f t="shared" si="19"/>
        <v>#DIV/0!</v>
      </c>
      <c r="AK27" s="171">
        <f t="shared" si="3"/>
        <v>0.36016787042517784</v>
      </c>
      <c r="AL27" s="171">
        <f t="shared" si="4"/>
        <v>-0.95219921457334677</v>
      </c>
      <c r="AM27" s="171">
        <f t="shared" si="5"/>
        <v>-1</v>
      </c>
      <c r="AN27" s="171">
        <f t="shared" si="6"/>
        <v>-1</v>
      </c>
      <c r="AO27" s="171" t="e">
        <f t="shared" si="7"/>
        <v>#DIV/0!</v>
      </c>
      <c r="AP27" s="171">
        <f t="shared" si="8"/>
        <v>-1</v>
      </c>
      <c r="AQ27" s="171">
        <f t="shared" si="9"/>
        <v>-1</v>
      </c>
      <c r="AR27" s="171">
        <f t="shared" si="10"/>
        <v>-1</v>
      </c>
      <c r="AS27" s="171">
        <f t="shared" si="11"/>
        <v>-1</v>
      </c>
      <c r="AT27" s="171" t="e">
        <f t="shared" si="12"/>
        <v>#DIV/0!</v>
      </c>
      <c r="AU27" s="171">
        <f t="shared" si="13"/>
        <v>-1</v>
      </c>
      <c r="AV27" s="171">
        <f t="shared" si="14"/>
        <v>-0.93938693050168176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32">
        <f t="shared" si="21"/>
        <v>0</v>
      </c>
    </row>
    <row r="28" spans="1:59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9"/>
      <c r="R28" s="82" t="s">
        <v>961</v>
      </c>
      <c r="S28" s="154" t="s">
        <v>962</v>
      </c>
      <c r="T28" s="162">
        <v>15752900</v>
      </c>
      <c r="U28" s="162">
        <v>37673499</v>
      </c>
      <c r="V28" s="162">
        <v>129714553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f t="shared" si="18"/>
        <v>183140952</v>
      </c>
      <c r="AG28" s="169"/>
      <c r="AH28" s="82" t="s">
        <v>961</v>
      </c>
      <c r="AI28" s="154" t="s">
        <v>962</v>
      </c>
      <c r="AJ28" s="171" t="e">
        <f t="shared" si="19"/>
        <v>#DIV/0!</v>
      </c>
      <c r="AK28" s="171">
        <f t="shared" si="3"/>
        <v>-5.6275477036996251E-2</v>
      </c>
      <c r="AL28" s="171">
        <f t="shared" si="4"/>
        <v>1.8343674456023324</v>
      </c>
      <c r="AM28" s="171">
        <f t="shared" si="5"/>
        <v>-1</v>
      </c>
      <c r="AN28" s="171">
        <f t="shared" si="6"/>
        <v>-1</v>
      </c>
      <c r="AO28" s="171">
        <f t="shared" si="7"/>
        <v>-1</v>
      </c>
      <c r="AP28" s="171">
        <f t="shared" si="8"/>
        <v>-1</v>
      </c>
      <c r="AQ28" s="171" t="e">
        <f t="shared" si="9"/>
        <v>#DIV/0!</v>
      </c>
      <c r="AR28" s="171">
        <f t="shared" si="10"/>
        <v>-1</v>
      </c>
      <c r="AS28" s="171">
        <f t="shared" si="11"/>
        <v>-1</v>
      </c>
      <c r="AT28" s="171">
        <f t="shared" si="12"/>
        <v>-1</v>
      </c>
      <c r="AU28" s="171">
        <f t="shared" si="13"/>
        <v>-1</v>
      </c>
      <c r="AV28" s="171">
        <f t="shared" si="14"/>
        <v>-0.5088377812755196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32">
        <f t="shared" si="21"/>
        <v>0</v>
      </c>
    </row>
    <row r="29" spans="1:59" x14ac:dyDescent="0.25">
      <c r="A29" s="30">
        <v>102202012</v>
      </c>
      <c r="B29" s="31" t="s">
        <v>793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8"/>
      <c r="R29" s="69" t="s">
        <v>963</v>
      </c>
      <c r="S29" s="150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61">
        <f t="shared" ref="W29:AE29" si="57">SUM(W30:W33)</f>
        <v>0</v>
      </c>
      <c r="X29" s="161">
        <f t="shared" si="57"/>
        <v>0</v>
      </c>
      <c r="Y29" s="161">
        <f t="shared" si="57"/>
        <v>0</v>
      </c>
      <c r="Z29" s="161">
        <f t="shared" si="57"/>
        <v>0</v>
      </c>
      <c r="AA29" s="161">
        <f t="shared" si="57"/>
        <v>0</v>
      </c>
      <c r="AB29" s="161">
        <f t="shared" si="57"/>
        <v>0</v>
      </c>
      <c r="AC29" s="161">
        <f t="shared" si="57"/>
        <v>0</v>
      </c>
      <c r="AD29" s="161">
        <f t="shared" si="57"/>
        <v>0</v>
      </c>
      <c r="AE29" s="161">
        <f t="shared" si="57"/>
        <v>0</v>
      </c>
      <c r="AF29" s="161">
        <f t="shared" si="18"/>
        <v>1969052015</v>
      </c>
      <c r="AG29" s="168"/>
      <c r="AH29" s="69" t="s">
        <v>963</v>
      </c>
      <c r="AI29" s="150" t="s">
        <v>964</v>
      </c>
      <c r="AJ29" s="170">
        <f t="shared" si="19"/>
        <v>5.880360511230192</v>
      </c>
      <c r="AK29" s="170">
        <f t="shared" si="3"/>
        <v>-0.27927476509612187</v>
      </c>
      <c r="AL29" s="170">
        <f t="shared" si="4"/>
        <v>-0.58640106491610178</v>
      </c>
      <c r="AM29" s="170">
        <f t="shared" si="5"/>
        <v>-1</v>
      </c>
      <c r="AN29" s="170">
        <f t="shared" si="6"/>
        <v>-1</v>
      </c>
      <c r="AO29" s="170">
        <f t="shared" si="7"/>
        <v>-1</v>
      </c>
      <c r="AP29" s="170">
        <f t="shared" si="8"/>
        <v>-1</v>
      </c>
      <c r="AQ29" s="170">
        <f t="shared" si="9"/>
        <v>-1</v>
      </c>
      <c r="AR29" s="170">
        <f t="shared" si="10"/>
        <v>-1</v>
      </c>
      <c r="AS29" s="170">
        <f t="shared" si="11"/>
        <v>-1</v>
      </c>
      <c r="AT29" s="170">
        <f t="shared" si="12"/>
        <v>-1</v>
      </c>
      <c r="AU29" s="170">
        <f t="shared" si="13"/>
        <v>-1</v>
      </c>
      <c r="AV29" s="170">
        <f t="shared" si="14"/>
        <v>-0.77058264203905824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32">
        <f t="shared" si="21"/>
        <v>0</v>
      </c>
    </row>
    <row r="30" spans="1:59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8"/>
      <c r="R30" s="84" t="s">
        <v>965</v>
      </c>
      <c r="S30" s="154" t="s">
        <v>958</v>
      </c>
      <c r="T30" s="162">
        <f>32232000+136000</f>
        <v>32368000</v>
      </c>
      <c r="U30" s="162">
        <v>0</v>
      </c>
      <c r="V30" s="162">
        <v>16184000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>
        <f t="shared" si="18"/>
        <v>48552000</v>
      </c>
      <c r="AG30" s="168"/>
      <c r="AH30" s="84" t="s">
        <v>965</v>
      </c>
      <c r="AI30" s="154" t="s">
        <v>958</v>
      </c>
      <c r="AJ30" s="171">
        <f t="shared" si="19"/>
        <v>3.5155979114522613</v>
      </c>
      <c r="AK30" s="171">
        <f t="shared" si="3"/>
        <v>-1</v>
      </c>
      <c r="AL30" s="171">
        <f t="shared" si="4"/>
        <v>-0.1908</v>
      </c>
      <c r="AM30" s="171">
        <f t="shared" si="5"/>
        <v>-1</v>
      </c>
      <c r="AN30" s="171">
        <f t="shared" si="6"/>
        <v>-1</v>
      </c>
      <c r="AO30" s="171">
        <f t="shared" si="7"/>
        <v>-1</v>
      </c>
      <c r="AP30" s="171">
        <f t="shared" si="8"/>
        <v>-1</v>
      </c>
      <c r="AQ30" s="171">
        <f t="shared" si="9"/>
        <v>-1</v>
      </c>
      <c r="AR30" s="171">
        <f t="shared" si="10"/>
        <v>-1</v>
      </c>
      <c r="AS30" s="171">
        <f t="shared" si="11"/>
        <v>-1</v>
      </c>
      <c r="AT30" s="171" t="e">
        <f t="shared" si="12"/>
        <v>#DIV/0!</v>
      </c>
      <c r="AU30" s="171" t="e">
        <f t="shared" si="13"/>
        <v>#DIV/0!</v>
      </c>
      <c r="AV30" s="171">
        <f t="shared" si="14"/>
        <v>-0.83816000000000002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32">
        <f t="shared" si="21"/>
        <v>0</v>
      </c>
    </row>
    <row r="31" spans="1:59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8"/>
      <c r="R31" s="84" t="s">
        <v>966</v>
      </c>
      <c r="S31" s="154" t="s">
        <v>790</v>
      </c>
      <c r="T31" s="162"/>
      <c r="U31" s="162">
        <v>64979713</v>
      </c>
      <c r="V31" s="162">
        <v>41784000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f t="shared" si="18"/>
        <v>106763713</v>
      </c>
      <c r="AG31" s="168"/>
      <c r="AH31" s="84" t="s">
        <v>966</v>
      </c>
      <c r="AI31" s="154" t="s">
        <v>790</v>
      </c>
      <c r="AJ31" s="171" t="e">
        <f t="shared" si="19"/>
        <v>#DIV/0!</v>
      </c>
      <c r="AK31" s="171">
        <f t="shared" si="3"/>
        <v>8.6984646268656718</v>
      </c>
      <c r="AL31" s="171">
        <f t="shared" si="4"/>
        <v>-0.22631641103544173</v>
      </c>
      <c r="AM31" s="171">
        <f t="shared" si="5"/>
        <v>-1</v>
      </c>
      <c r="AN31" s="171">
        <f t="shared" si="6"/>
        <v>-1</v>
      </c>
      <c r="AO31" s="171">
        <f t="shared" si="7"/>
        <v>-1</v>
      </c>
      <c r="AP31" s="171" t="e">
        <f t="shared" si="8"/>
        <v>#DIV/0!</v>
      </c>
      <c r="AQ31" s="171">
        <f t="shared" si="9"/>
        <v>-1</v>
      </c>
      <c r="AR31" s="171">
        <f t="shared" si="10"/>
        <v>-1</v>
      </c>
      <c r="AS31" s="171">
        <f t="shared" si="11"/>
        <v>-1</v>
      </c>
      <c r="AT31" s="171">
        <f t="shared" si="12"/>
        <v>-1</v>
      </c>
      <c r="AU31" s="171">
        <f t="shared" si="13"/>
        <v>-1</v>
      </c>
      <c r="AV31" s="171">
        <f t="shared" si="14"/>
        <v>-0.48096192903076013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32">
        <f t="shared" si="21"/>
        <v>0</v>
      </c>
    </row>
    <row r="32" spans="1:59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8"/>
      <c r="R32" s="82" t="s">
        <v>967</v>
      </c>
      <c r="S32" s="154" t="s">
        <v>791</v>
      </c>
      <c r="T32" s="162">
        <v>16716720</v>
      </c>
      <c r="U32" s="162">
        <v>997253781</v>
      </c>
      <c r="V32" s="162">
        <v>775792201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>
        <f t="shared" si="18"/>
        <v>1789762702</v>
      </c>
      <c r="AG32" s="168"/>
      <c r="AH32" s="82" t="s">
        <v>967</v>
      </c>
      <c r="AI32" s="154" t="s">
        <v>791</v>
      </c>
      <c r="AJ32" s="171" t="e">
        <f t="shared" si="19"/>
        <v>#DIV/0!</v>
      </c>
      <c r="AK32" s="171">
        <f t="shared" si="3"/>
        <v>-0.2429363823881229</v>
      </c>
      <c r="AL32" s="171">
        <f t="shared" si="4"/>
        <v>-0.60128071453533194</v>
      </c>
      <c r="AM32" s="171">
        <f t="shared" si="5"/>
        <v>-1</v>
      </c>
      <c r="AN32" s="171">
        <f t="shared" si="6"/>
        <v>-1</v>
      </c>
      <c r="AO32" s="171" t="e">
        <f t="shared" si="7"/>
        <v>#DIV/0!</v>
      </c>
      <c r="AP32" s="171">
        <f t="shared" si="8"/>
        <v>-1</v>
      </c>
      <c r="AQ32" s="171">
        <f t="shared" si="9"/>
        <v>-1</v>
      </c>
      <c r="AR32" s="171">
        <f t="shared" si="10"/>
        <v>-1</v>
      </c>
      <c r="AS32" s="171" t="e">
        <f t="shared" si="11"/>
        <v>#DIV/0!</v>
      </c>
      <c r="AT32" s="171" t="e">
        <f t="shared" si="12"/>
        <v>#DIV/0!</v>
      </c>
      <c r="AU32" s="171" t="e">
        <f t="shared" si="13"/>
        <v>#DIV/0!</v>
      </c>
      <c r="AV32" s="171">
        <f t="shared" si="14"/>
        <v>-0.77421297139942258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32">
        <f t="shared" si="21"/>
        <v>0</v>
      </c>
    </row>
    <row r="33" spans="1:59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9"/>
      <c r="R33" s="82" t="s">
        <v>968</v>
      </c>
      <c r="S33" s="154" t="s">
        <v>969</v>
      </c>
      <c r="T33" s="162">
        <v>234000</v>
      </c>
      <c r="U33" s="162">
        <v>11982600</v>
      </c>
      <c r="V33" s="162">
        <v>11757000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f t="shared" si="18"/>
        <v>23973600</v>
      </c>
      <c r="AG33" s="169"/>
      <c r="AH33" s="82" t="s">
        <v>968</v>
      </c>
      <c r="AI33" s="154" t="s">
        <v>969</v>
      </c>
      <c r="AJ33" s="171" t="e">
        <f t="shared" si="19"/>
        <v>#DIV/0!</v>
      </c>
      <c r="AK33" s="171">
        <f t="shared" si="3"/>
        <v>-0.76272079207920795</v>
      </c>
      <c r="AL33" s="171">
        <f t="shared" si="4"/>
        <v>-0.52160011881667545</v>
      </c>
      <c r="AM33" s="171" t="e">
        <f t="shared" si="5"/>
        <v>#DIV/0!</v>
      </c>
      <c r="AN33" s="171" t="e">
        <f t="shared" si="6"/>
        <v>#DIV/0!</v>
      </c>
      <c r="AO33" s="171">
        <f t="shared" si="7"/>
        <v>-1</v>
      </c>
      <c r="AP33" s="171">
        <f t="shared" si="8"/>
        <v>-1</v>
      </c>
      <c r="AQ33" s="171">
        <f t="shared" si="9"/>
        <v>-1</v>
      </c>
      <c r="AR33" s="171">
        <f t="shared" si="10"/>
        <v>-1</v>
      </c>
      <c r="AS33" s="171" t="e">
        <f t="shared" si="11"/>
        <v>#DIV/0!</v>
      </c>
      <c r="AT33" s="171" t="e">
        <f t="shared" si="12"/>
        <v>#DIV/0!</v>
      </c>
      <c r="AU33" s="171" t="e">
        <f t="shared" si="13"/>
        <v>#DIV/0!</v>
      </c>
      <c r="AV33" s="171">
        <f t="shared" si="14"/>
        <v>-0.84056804318181588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32">
        <f t="shared" si="21"/>
        <v>0</v>
      </c>
    </row>
    <row r="34" spans="1:59" ht="16.5" customHeight="1" x14ac:dyDescent="0.25">
      <c r="A34" s="30">
        <v>1025</v>
      </c>
      <c r="B34" s="31" t="s">
        <v>794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9"/>
      <c r="R34" s="66" t="s">
        <v>970</v>
      </c>
      <c r="S34" s="149" t="s">
        <v>794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61">
        <f t="shared" ref="W34:AE34" si="60">+W35+W53</f>
        <v>0</v>
      </c>
      <c r="X34" s="161">
        <f t="shared" si="60"/>
        <v>0</v>
      </c>
      <c r="Y34" s="161">
        <f t="shared" si="60"/>
        <v>0</v>
      </c>
      <c r="Z34" s="161">
        <f t="shared" si="60"/>
        <v>0</v>
      </c>
      <c r="AA34" s="161">
        <f t="shared" si="60"/>
        <v>0</v>
      </c>
      <c r="AB34" s="161">
        <f t="shared" si="60"/>
        <v>0</v>
      </c>
      <c r="AC34" s="161">
        <f t="shared" si="60"/>
        <v>0</v>
      </c>
      <c r="AD34" s="161">
        <f t="shared" si="60"/>
        <v>0</v>
      </c>
      <c r="AE34" s="161">
        <f t="shared" si="60"/>
        <v>0</v>
      </c>
      <c r="AF34" s="161">
        <f t="shared" si="18"/>
        <v>1541335201</v>
      </c>
      <c r="AG34" s="169"/>
      <c r="AH34" s="66" t="s">
        <v>970</v>
      </c>
      <c r="AI34" s="149" t="s">
        <v>794</v>
      </c>
      <c r="AJ34" s="170">
        <f t="shared" si="19"/>
        <v>1.0769521261884407</v>
      </c>
      <c r="AK34" s="170">
        <f t="shared" si="3"/>
        <v>8.4835743977313471E-2</v>
      </c>
      <c r="AL34" s="170">
        <f t="shared" si="4"/>
        <v>-0.17270796675802064</v>
      </c>
      <c r="AM34" s="170">
        <f t="shared" si="5"/>
        <v>-1</v>
      </c>
      <c r="AN34" s="170">
        <f t="shared" si="6"/>
        <v>-1</v>
      </c>
      <c r="AO34" s="170">
        <f t="shared" si="7"/>
        <v>-1</v>
      </c>
      <c r="AP34" s="170">
        <f t="shared" si="8"/>
        <v>-1</v>
      </c>
      <c r="AQ34" s="170">
        <f t="shared" si="9"/>
        <v>-1</v>
      </c>
      <c r="AR34" s="170">
        <f t="shared" si="10"/>
        <v>-1</v>
      </c>
      <c r="AS34" s="170">
        <f t="shared" si="11"/>
        <v>-1</v>
      </c>
      <c r="AT34" s="170">
        <f t="shared" si="12"/>
        <v>-1</v>
      </c>
      <c r="AU34" s="170">
        <f t="shared" si="13"/>
        <v>-1</v>
      </c>
      <c r="AV34" s="170">
        <f t="shared" si="14"/>
        <v>-0.66694773194818435</v>
      </c>
      <c r="AX34" s="66" t="s">
        <v>970</v>
      </c>
      <c r="AY34" s="66" t="s">
        <v>794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32">
        <f t="shared" si="21"/>
        <v>87722170</v>
      </c>
    </row>
    <row r="35" spans="1:59" ht="16.5" customHeight="1" x14ac:dyDescent="0.25">
      <c r="A35" s="35">
        <v>102501</v>
      </c>
      <c r="B35" s="36" t="s">
        <v>795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9"/>
      <c r="R35" s="66" t="s">
        <v>971</v>
      </c>
      <c r="S35" s="149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61">
        <f t="shared" ref="W35:AE35" si="63">+W36+W47</f>
        <v>0</v>
      </c>
      <c r="X35" s="161">
        <f t="shared" si="63"/>
        <v>0</v>
      </c>
      <c r="Y35" s="161">
        <f t="shared" si="63"/>
        <v>0</v>
      </c>
      <c r="Z35" s="161">
        <f t="shared" si="63"/>
        <v>0</v>
      </c>
      <c r="AA35" s="161">
        <f t="shared" si="63"/>
        <v>0</v>
      </c>
      <c r="AB35" s="161">
        <f t="shared" si="63"/>
        <v>0</v>
      </c>
      <c r="AC35" s="161">
        <f t="shared" si="63"/>
        <v>0</v>
      </c>
      <c r="AD35" s="161">
        <f t="shared" si="63"/>
        <v>0</v>
      </c>
      <c r="AE35" s="161">
        <f t="shared" si="63"/>
        <v>0</v>
      </c>
      <c r="AF35" s="161">
        <f t="shared" si="18"/>
        <v>1241165908</v>
      </c>
      <c r="AG35" s="169"/>
      <c r="AH35" s="66" t="s">
        <v>971</v>
      </c>
      <c r="AI35" s="149" t="s">
        <v>795</v>
      </c>
      <c r="AJ35" s="170">
        <f t="shared" si="19"/>
        <v>0.83670021301186981</v>
      </c>
      <c r="AK35" s="170">
        <f t="shared" si="3"/>
        <v>0.39442495523714921</v>
      </c>
      <c r="AL35" s="170">
        <f t="shared" si="4"/>
        <v>-0.4119374884918639</v>
      </c>
      <c r="AM35" s="170">
        <f t="shared" si="5"/>
        <v>-1</v>
      </c>
      <c r="AN35" s="170">
        <f t="shared" si="6"/>
        <v>-1</v>
      </c>
      <c r="AO35" s="170">
        <f t="shared" si="7"/>
        <v>-1</v>
      </c>
      <c r="AP35" s="170">
        <f t="shared" si="8"/>
        <v>-1</v>
      </c>
      <c r="AQ35" s="170">
        <f t="shared" si="9"/>
        <v>-1</v>
      </c>
      <c r="AR35" s="170">
        <f t="shared" si="10"/>
        <v>-1</v>
      </c>
      <c r="AS35" s="170">
        <f t="shared" si="11"/>
        <v>-1</v>
      </c>
      <c r="AT35" s="170">
        <f t="shared" si="12"/>
        <v>-1</v>
      </c>
      <c r="AU35" s="170">
        <f t="shared" si="13"/>
        <v>-1</v>
      </c>
      <c r="AV35" s="170">
        <f t="shared" si="14"/>
        <v>-0.6970946778916115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32">
        <f t="shared" si="21"/>
        <v>87722170</v>
      </c>
    </row>
    <row r="36" spans="1:59" ht="16.5" customHeight="1" x14ac:dyDescent="0.25">
      <c r="A36" s="35">
        <v>10250108</v>
      </c>
      <c r="B36" s="36" t="s">
        <v>421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9"/>
      <c r="R36" s="66" t="s">
        <v>972</v>
      </c>
      <c r="S36" s="149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61">
        <f t="shared" ref="W36:AE36" si="66">+W41+W37</f>
        <v>0</v>
      </c>
      <c r="X36" s="161">
        <f t="shared" si="66"/>
        <v>0</v>
      </c>
      <c r="Y36" s="161">
        <f t="shared" si="66"/>
        <v>0</v>
      </c>
      <c r="Z36" s="161">
        <f t="shared" si="66"/>
        <v>0</v>
      </c>
      <c r="AA36" s="161">
        <f t="shared" si="66"/>
        <v>0</v>
      </c>
      <c r="AB36" s="161">
        <f t="shared" si="66"/>
        <v>0</v>
      </c>
      <c r="AC36" s="161">
        <f t="shared" si="66"/>
        <v>0</v>
      </c>
      <c r="AD36" s="161">
        <f t="shared" si="66"/>
        <v>0</v>
      </c>
      <c r="AE36" s="161">
        <f t="shared" si="66"/>
        <v>0</v>
      </c>
      <c r="AF36" s="161">
        <f t="shared" si="18"/>
        <v>305389681</v>
      </c>
      <c r="AG36" s="169"/>
      <c r="AH36" s="66" t="s">
        <v>972</v>
      </c>
      <c r="AI36" s="149" t="s">
        <v>421</v>
      </c>
      <c r="AJ36" s="170">
        <f t="shared" si="19"/>
        <v>-0.27750249656436987</v>
      </c>
      <c r="AK36" s="170">
        <f t="shared" si="3"/>
        <v>-0.23861843990523526</v>
      </c>
      <c r="AL36" s="170">
        <f t="shared" si="4"/>
        <v>-0.21552319003355785</v>
      </c>
      <c r="AM36" s="170">
        <f t="shared" si="5"/>
        <v>-1</v>
      </c>
      <c r="AN36" s="170">
        <f t="shared" si="6"/>
        <v>-1</v>
      </c>
      <c r="AO36" s="170">
        <f t="shared" si="7"/>
        <v>-1</v>
      </c>
      <c r="AP36" s="170">
        <f t="shared" si="8"/>
        <v>-1</v>
      </c>
      <c r="AQ36" s="170">
        <f t="shared" si="9"/>
        <v>-1</v>
      </c>
      <c r="AR36" s="170">
        <f t="shared" si="10"/>
        <v>-1</v>
      </c>
      <c r="AS36" s="170">
        <f t="shared" si="11"/>
        <v>-1</v>
      </c>
      <c r="AT36" s="170">
        <f t="shared" si="12"/>
        <v>-1</v>
      </c>
      <c r="AU36" s="170">
        <f t="shared" si="13"/>
        <v>-1</v>
      </c>
      <c r="AV36" s="170">
        <f t="shared" si="14"/>
        <v>-0.80346718495371916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32">
        <f t="shared" si="21"/>
        <v>87722170</v>
      </c>
    </row>
    <row r="37" spans="1:59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8"/>
      <c r="R37" s="91" t="s">
        <v>973</v>
      </c>
      <c r="S37" s="155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8"/>
      <c r="AH37" s="91" t="s">
        <v>973</v>
      </c>
      <c r="AI37" s="155" t="s">
        <v>750</v>
      </c>
      <c r="AJ37" s="170">
        <f t="shared" si="19"/>
        <v>-1</v>
      </c>
      <c r="AK37" s="170">
        <f t="shared" si="3"/>
        <v>-1</v>
      </c>
      <c r="AL37" s="170">
        <f t="shared" si="4"/>
        <v>13.375</v>
      </c>
      <c r="AM37" s="170">
        <f t="shared" si="5"/>
        <v>-1</v>
      </c>
      <c r="AN37" s="170">
        <f t="shared" si="6"/>
        <v>-1</v>
      </c>
      <c r="AO37" s="170">
        <f t="shared" si="7"/>
        <v>-1</v>
      </c>
      <c r="AP37" s="170">
        <f t="shared" si="8"/>
        <v>-1</v>
      </c>
      <c r="AQ37" s="170">
        <f t="shared" si="9"/>
        <v>-1</v>
      </c>
      <c r="AR37" s="170">
        <f t="shared" si="10"/>
        <v>-1</v>
      </c>
      <c r="AS37" s="170">
        <f t="shared" si="11"/>
        <v>-1</v>
      </c>
      <c r="AT37" s="170">
        <f t="shared" si="12"/>
        <v>-1</v>
      </c>
      <c r="AU37" s="170">
        <f t="shared" si="13"/>
        <v>-1</v>
      </c>
      <c r="AV37" s="170">
        <f t="shared" si="14"/>
        <v>0.26373626373626374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32">
        <f t="shared" si="21"/>
        <v>1670970</v>
      </c>
    </row>
    <row r="38" spans="1:59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8"/>
      <c r="R38" s="82" t="s">
        <v>974</v>
      </c>
      <c r="S38" s="156" t="s">
        <v>796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>
        <f t="shared" si="18"/>
        <v>0</v>
      </c>
      <c r="AG38" s="168"/>
      <c r="AH38" s="82" t="s">
        <v>974</v>
      </c>
      <c r="AI38" s="156" t="s">
        <v>796</v>
      </c>
      <c r="AJ38" s="171">
        <f t="shared" si="19"/>
        <v>-1</v>
      </c>
      <c r="AK38" s="171">
        <f t="shared" si="3"/>
        <v>-1</v>
      </c>
      <c r="AL38" s="171">
        <f t="shared" si="4"/>
        <v>-1</v>
      </c>
      <c r="AM38" s="171">
        <f t="shared" si="5"/>
        <v>-1</v>
      </c>
      <c r="AN38" s="171">
        <f t="shared" si="6"/>
        <v>-1</v>
      </c>
      <c r="AO38" s="171">
        <f t="shared" si="7"/>
        <v>-1</v>
      </c>
      <c r="AP38" s="171">
        <f t="shared" si="8"/>
        <v>-1</v>
      </c>
      <c r="AQ38" s="171">
        <f t="shared" si="9"/>
        <v>-1</v>
      </c>
      <c r="AR38" s="171">
        <f t="shared" si="10"/>
        <v>-1</v>
      </c>
      <c r="AS38" s="171">
        <f t="shared" si="11"/>
        <v>-1</v>
      </c>
      <c r="AT38" s="171">
        <f t="shared" si="12"/>
        <v>-1</v>
      </c>
      <c r="AU38" s="171">
        <f t="shared" si="13"/>
        <v>-1</v>
      </c>
      <c r="AV38" s="171">
        <f t="shared" si="14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32">
        <f t="shared" si="21"/>
        <v>0</v>
      </c>
    </row>
    <row r="39" spans="1:59" ht="16.5" customHeight="1" x14ac:dyDescent="0.25">
      <c r="A39" s="145" t="s">
        <v>1169</v>
      </c>
      <c r="B39" s="146" t="s">
        <v>1170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>
        <f t="shared" si="37"/>
        <v>0</v>
      </c>
      <c r="P39" s="52">
        <f>SUM(C39:N39)</f>
        <v>0</v>
      </c>
      <c r="Q39" s="168"/>
      <c r="R39" s="82"/>
      <c r="S39" s="156"/>
      <c r="T39" s="162"/>
      <c r="U39" s="162"/>
      <c r="V39" s="162">
        <v>23000000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>
        <f t="shared" si="18"/>
        <v>23000000</v>
      </c>
      <c r="AG39" s="168"/>
      <c r="AH39" s="82"/>
      <c r="AI39" s="156"/>
      <c r="AJ39" s="171" t="e">
        <f t="shared" ref="AJ39:AU39" si="71">(T39-C39)/C39</f>
        <v>#DIV/0!</v>
      </c>
      <c r="AK39" s="171" t="e">
        <f t="shared" si="71"/>
        <v>#DIV/0!</v>
      </c>
      <c r="AL39" s="171" t="e">
        <f t="shared" si="71"/>
        <v>#DIV/0!</v>
      </c>
      <c r="AM39" s="171" t="e">
        <f t="shared" si="71"/>
        <v>#DIV/0!</v>
      </c>
      <c r="AN39" s="171" t="e">
        <f t="shared" si="71"/>
        <v>#DIV/0!</v>
      </c>
      <c r="AO39" s="171" t="e">
        <f t="shared" si="71"/>
        <v>#DIV/0!</v>
      </c>
      <c r="AP39" s="171" t="e">
        <f t="shared" si="71"/>
        <v>#DIV/0!</v>
      </c>
      <c r="AQ39" s="171" t="e">
        <f t="shared" si="71"/>
        <v>#DIV/0!</v>
      </c>
      <c r="AR39" s="171" t="e">
        <f t="shared" si="71"/>
        <v>#DIV/0!</v>
      </c>
      <c r="AS39" s="171" t="e">
        <f t="shared" si="71"/>
        <v>#DIV/0!</v>
      </c>
      <c r="AT39" s="171" t="e">
        <f t="shared" si="71"/>
        <v>#DIV/0!</v>
      </c>
      <c r="AU39" s="171" t="e">
        <f t="shared" si="71"/>
        <v>#DIV/0!</v>
      </c>
      <c r="AV39" s="171" t="e">
        <f>(AF39-P39)/P39</f>
        <v>#DIV/0!</v>
      </c>
      <c r="AX39" s="82" t="s">
        <v>1169</v>
      </c>
      <c r="AY39" s="92" t="s">
        <v>1170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32">
        <f t="shared" si="21"/>
        <v>0</v>
      </c>
    </row>
    <row r="40" spans="1:59" ht="16.5" customHeight="1" x14ac:dyDescent="0.25">
      <c r="A40" s="145" t="s">
        <v>1212</v>
      </c>
      <c r="B40" s="146" t="s">
        <v>1213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>
        <f t="shared" si="37"/>
        <v>0</v>
      </c>
      <c r="P40" s="147"/>
      <c r="Q40" s="168"/>
      <c r="R40" s="82"/>
      <c r="S40" s="156"/>
      <c r="T40" s="162"/>
      <c r="U40" s="162"/>
      <c r="V40" s="162">
        <v>1670970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>
        <f t="shared" si="18"/>
        <v>1670970</v>
      </c>
      <c r="AG40" s="168"/>
      <c r="AH40" s="82"/>
      <c r="AI40" s="156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X40" s="82" t="s">
        <v>1212</v>
      </c>
      <c r="AY40" s="92" t="s">
        <v>1213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32">
        <f t="shared" si="21"/>
        <v>0</v>
      </c>
    </row>
    <row r="41" spans="1:59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8"/>
      <c r="R41" s="69" t="s">
        <v>975</v>
      </c>
      <c r="S41" s="150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61">
        <f t="shared" ref="W41:AE41" si="73">+W42+W43</f>
        <v>0</v>
      </c>
      <c r="X41" s="161">
        <f t="shared" si="73"/>
        <v>0</v>
      </c>
      <c r="Y41" s="161">
        <f t="shared" si="73"/>
        <v>0</v>
      </c>
      <c r="Z41" s="161">
        <f t="shared" si="73"/>
        <v>0</v>
      </c>
      <c r="AA41" s="161">
        <f t="shared" si="73"/>
        <v>0</v>
      </c>
      <c r="AB41" s="161">
        <f t="shared" si="73"/>
        <v>0</v>
      </c>
      <c r="AC41" s="161">
        <f t="shared" si="73"/>
        <v>0</v>
      </c>
      <c r="AD41" s="161">
        <f t="shared" si="73"/>
        <v>0</v>
      </c>
      <c r="AE41" s="161">
        <f t="shared" si="73"/>
        <v>0</v>
      </c>
      <c r="AF41" s="161">
        <f t="shared" si="18"/>
        <v>282389681</v>
      </c>
      <c r="AG41" s="168"/>
      <c r="AH41" s="69" t="s">
        <v>975</v>
      </c>
      <c r="AI41" s="150" t="s">
        <v>976</v>
      </c>
      <c r="AJ41" s="170">
        <f t="shared" si="19"/>
        <v>-0.27397736968124176</v>
      </c>
      <c r="AK41" s="170">
        <f t="shared" si="3"/>
        <v>-0.22871218521491365</v>
      </c>
      <c r="AL41" s="170">
        <f t="shared" si="4"/>
        <v>-0.35767058306023347</v>
      </c>
      <c r="AM41" s="170">
        <f t="shared" si="5"/>
        <v>-1</v>
      </c>
      <c r="AN41" s="170">
        <f t="shared" si="6"/>
        <v>-1</v>
      </c>
      <c r="AO41" s="170">
        <f t="shared" si="7"/>
        <v>-1</v>
      </c>
      <c r="AP41" s="170">
        <f t="shared" si="8"/>
        <v>-1</v>
      </c>
      <c r="AQ41" s="170">
        <f t="shared" si="9"/>
        <v>-1</v>
      </c>
      <c r="AR41" s="170">
        <f t="shared" si="10"/>
        <v>-1</v>
      </c>
      <c r="AS41" s="170">
        <f t="shared" si="11"/>
        <v>-1</v>
      </c>
      <c r="AT41" s="170">
        <f t="shared" si="12"/>
        <v>-1</v>
      </c>
      <c r="AU41" s="170">
        <f t="shared" si="13"/>
        <v>-1</v>
      </c>
      <c r="AV41" s="170">
        <f t="shared" si="14"/>
        <v>-0.8161150158902768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32">
        <f t="shared" si="21"/>
        <v>85956100</v>
      </c>
    </row>
    <row r="42" spans="1:59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8"/>
      <c r="R42" s="93">
        <v>10250108304</v>
      </c>
      <c r="S42" s="157" t="s">
        <v>798</v>
      </c>
      <c r="T42" s="162"/>
      <c r="U42" s="162">
        <v>151304</v>
      </c>
      <c r="V42" s="162">
        <v>1670970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>
        <f t="shared" si="18"/>
        <v>1822274</v>
      </c>
      <c r="AG42" s="168"/>
      <c r="AH42" s="93">
        <v>10250108304</v>
      </c>
      <c r="AI42" s="157" t="s">
        <v>798</v>
      </c>
      <c r="AJ42" s="171">
        <f t="shared" si="19"/>
        <v>-1</v>
      </c>
      <c r="AK42" s="171">
        <f t="shared" si="3"/>
        <v>-0.98893167520117042</v>
      </c>
      <c r="AL42" s="171">
        <f t="shared" si="4"/>
        <v>-0.96173643233340966</v>
      </c>
      <c r="AM42" s="171">
        <f t="shared" si="5"/>
        <v>-1</v>
      </c>
      <c r="AN42" s="171">
        <f t="shared" si="6"/>
        <v>-1</v>
      </c>
      <c r="AO42" s="171">
        <f t="shared" si="7"/>
        <v>-1</v>
      </c>
      <c r="AP42" s="171">
        <f t="shared" si="8"/>
        <v>-1</v>
      </c>
      <c r="AQ42" s="171">
        <f t="shared" si="9"/>
        <v>-1</v>
      </c>
      <c r="AR42" s="171">
        <f t="shared" si="10"/>
        <v>-1</v>
      </c>
      <c r="AS42" s="171">
        <f t="shared" si="11"/>
        <v>-1</v>
      </c>
      <c r="AT42" s="171">
        <f t="shared" si="12"/>
        <v>-1</v>
      </c>
      <c r="AU42" s="171">
        <f t="shared" si="13"/>
        <v>-1</v>
      </c>
      <c r="AV42" s="171">
        <f t="shared" si="14"/>
        <v>-0.99186630066059633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32">
        <f t="shared" si="21"/>
        <v>0</v>
      </c>
    </row>
    <row r="43" spans="1:59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8"/>
      <c r="R43" s="93">
        <v>10250108305</v>
      </c>
      <c r="S43" s="157" t="s">
        <v>799</v>
      </c>
      <c r="T43" s="162">
        <v>89281814</v>
      </c>
      <c r="U43" s="162">
        <v>94696945</v>
      </c>
      <c r="V43" s="162">
        <v>96588648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f t="shared" si="18"/>
        <v>280567407</v>
      </c>
      <c r="AG43" s="168"/>
      <c r="AH43" s="93">
        <v>10250108305</v>
      </c>
      <c r="AI43" s="157" t="s">
        <v>799</v>
      </c>
      <c r="AJ43" s="171">
        <f t="shared" si="19"/>
        <v>-0.18317793891909687</v>
      </c>
      <c r="AK43" s="171">
        <f t="shared" si="3"/>
        <v>-0.13363595196480973</v>
      </c>
      <c r="AL43" s="171">
        <f t="shared" si="4"/>
        <v>-0.11632912682108082</v>
      </c>
      <c r="AM43" s="171">
        <f t="shared" si="5"/>
        <v>-1</v>
      </c>
      <c r="AN43" s="171">
        <f t="shared" si="6"/>
        <v>-1</v>
      </c>
      <c r="AO43" s="171">
        <f t="shared" si="7"/>
        <v>-1</v>
      </c>
      <c r="AP43" s="171">
        <f t="shared" si="8"/>
        <v>-1</v>
      </c>
      <c r="AQ43" s="171">
        <f t="shared" si="9"/>
        <v>-1</v>
      </c>
      <c r="AR43" s="171">
        <f t="shared" si="10"/>
        <v>-1</v>
      </c>
      <c r="AS43" s="171">
        <f t="shared" si="11"/>
        <v>-1</v>
      </c>
      <c r="AT43" s="171">
        <f t="shared" si="12"/>
        <v>-1</v>
      </c>
      <c r="AU43" s="171">
        <f t="shared" si="13"/>
        <v>-1</v>
      </c>
      <c r="AV43" s="171">
        <f t="shared" si="14"/>
        <v>-0.78609525147541559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32">
        <f t="shared" si="21"/>
        <v>0</v>
      </c>
    </row>
    <row r="44" spans="1:59" ht="16.5" customHeight="1" x14ac:dyDescent="0.25">
      <c r="A44" s="145">
        <v>10250108309</v>
      </c>
      <c r="B44" s="146" t="s">
        <v>1214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>
        <f t="shared" si="37"/>
        <v>0</v>
      </c>
      <c r="P44" s="147"/>
      <c r="Q44" s="168"/>
      <c r="R44" s="93"/>
      <c r="S44" s="157"/>
      <c r="T44" s="231"/>
      <c r="U44" s="231"/>
      <c r="V44" s="231">
        <v>85956100</v>
      </c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168"/>
      <c r="AH44" s="93"/>
      <c r="AI44" s="157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X44" s="93">
        <v>10250108309</v>
      </c>
      <c r="AY44" s="94" t="s">
        <v>1214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32">
        <f t="shared" si="21"/>
        <v>85956100</v>
      </c>
    </row>
    <row r="45" spans="1:59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8"/>
      <c r="R45" s="69"/>
      <c r="S45" s="150"/>
      <c r="T45" s="53">
        <f>+T46</f>
        <v>0</v>
      </c>
      <c r="U45" s="53">
        <f>+U46</f>
        <v>0</v>
      </c>
      <c r="V45" s="53">
        <f>+V46</f>
        <v>95100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8"/>
      <c r="AH45" s="69"/>
      <c r="AI45" s="15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69">
        <v>102501084</v>
      </c>
      <c r="AY45" s="69" t="s">
        <v>439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32">
        <f t="shared" si="21"/>
        <v>95100</v>
      </c>
    </row>
    <row r="46" spans="1:59" ht="16.5" customHeight="1" x14ac:dyDescent="0.25">
      <c r="A46" s="145">
        <v>10250108405</v>
      </c>
      <c r="B46" s="146" t="s">
        <v>1215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>
        <f t="shared" si="37"/>
        <v>0</v>
      </c>
      <c r="P46" s="147"/>
      <c r="Q46" s="168"/>
      <c r="R46" s="93"/>
      <c r="S46" s="157"/>
      <c r="T46" s="231"/>
      <c r="U46" s="231"/>
      <c r="V46" s="231">
        <v>95100</v>
      </c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168"/>
      <c r="AH46" s="93"/>
      <c r="AI46" s="157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X46" s="229">
        <v>10250108405</v>
      </c>
      <c r="AY46" s="94" t="s">
        <v>1215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32">
        <f t="shared" si="21"/>
        <v>95100</v>
      </c>
    </row>
    <row r="47" spans="1:59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9"/>
      <c r="R47" s="66" t="s">
        <v>977</v>
      </c>
      <c r="S47" s="149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9"/>
      <c r="AH47" s="66" t="s">
        <v>977</v>
      </c>
      <c r="AI47" s="149" t="s">
        <v>978</v>
      </c>
      <c r="AJ47" s="170" t="e">
        <f t="shared" si="19"/>
        <v>#DIV/0!</v>
      </c>
      <c r="AK47" s="170">
        <f t="shared" si="3"/>
        <v>0.75487977932270167</v>
      </c>
      <c r="AL47" s="170">
        <f t="shared" si="4"/>
        <v>-0.45210225385638825</v>
      </c>
      <c r="AM47" s="170">
        <f t="shared" si="5"/>
        <v>-1</v>
      </c>
      <c r="AN47" s="170">
        <f t="shared" si="6"/>
        <v>-1</v>
      </c>
      <c r="AO47" s="170">
        <f t="shared" si="7"/>
        <v>-1</v>
      </c>
      <c r="AP47" s="170">
        <f t="shared" si="8"/>
        <v>-1</v>
      </c>
      <c r="AQ47" s="170">
        <f t="shared" si="9"/>
        <v>-1</v>
      </c>
      <c r="AR47" s="170">
        <f t="shared" si="10"/>
        <v>-1</v>
      </c>
      <c r="AS47" s="170">
        <f t="shared" si="11"/>
        <v>-1</v>
      </c>
      <c r="AT47" s="170">
        <f t="shared" si="12"/>
        <v>-1</v>
      </c>
      <c r="AU47" s="170">
        <f t="shared" si="13"/>
        <v>-1</v>
      </c>
      <c r="AV47" s="170">
        <f t="shared" si="14"/>
        <v>-0.63211296527605632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32">
        <f t="shared" si="21"/>
        <v>0</v>
      </c>
    </row>
    <row r="48" spans="1:59" ht="16.5" customHeight="1" x14ac:dyDescent="0.25">
      <c r="A48" s="35">
        <v>102501092</v>
      </c>
      <c r="B48" s="36" t="s">
        <v>483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8"/>
      <c r="R48" s="69" t="s">
        <v>979</v>
      </c>
      <c r="S48" s="150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61">
        <f t="shared" ref="W48:AE48" si="80">+W49+W50</f>
        <v>0</v>
      </c>
      <c r="X48" s="161">
        <f t="shared" si="80"/>
        <v>0</v>
      </c>
      <c r="Y48" s="161">
        <f t="shared" si="80"/>
        <v>0</v>
      </c>
      <c r="Z48" s="161">
        <f t="shared" si="80"/>
        <v>0</v>
      </c>
      <c r="AA48" s="161">
        <f t="shared" si="80"/>
        <v>0</v>
      </c>
      <c r="AB48" s="161">
        <f t="shared" si="80"/>
        <v>0</v>
      </c>
      <c r="AC48" s="161">
        <f t="shared" si="80"/>
        <v>0</v>
      </c>
      <c r="AD48" s="161">
        <f t="shared" si="80"/>
        <v>0</v>
      </c>
      <c r="AE48" s="161">
        <f t="shared" si="80"/>
        <v>0</v>
      </c>
      <c r="AF48" s="161">
        <f t="shared" si="18"/>
        <v>935776227</v>
      </c>
      <c r="AG48" s="168"/>
      <c r="AH48" s="69" t="s">
        <v>979</v>
      </c>
      <c r="AI48" s="150" t="s">
        <v>483</v>
      </c>
      <c r="AJ48" s="170" t="e">
        <f t="shared" si="19"/>
        <v>#DIV/0!</v>
      </c>
      <c r="AK48" s="170">
        <f t="shared" si="3"/>
        <v>0.75487977932270167</v>
      </c>
      <c r="AL48" s="170">
        <f t="shared" si="4"/>
        <v>-0.45210225385638825</v>
      </c>
      <c r="AM48" s="170">
        <f t="shared" si="5"/>
        <v>-1</v>
      </c>
      <c r="AN48" s="170">
        <f t="shared" si="6"/>
        <v>-1</v>
      </c>
      <c r="AO48" s="170">
        <f t="shared" si="7"/>
        <v>-1</v>
      </c>
      <c r="AP48" s="170">
        <f t="shared" si="8"/>
        <v>-1</v>
      </c>
      <c r="AQ48" s="170">
        <f t="shared" si="9"/>
        <v>-1</v>
      </c>
      <c r="AR48" s="170">
        <f t="shared" si="10"/>
        <v>-1</v>
      </c>
      <c r="AS48" s="170">
        <f t="shared" si="11"/>
        <v>-1</v>
      </c>
      <c r="AT48" s="170">
        <f t="shared" si="12"/>
        <v>-1</v>
      </c>
      <c r="AU48" s="170">
        <f t="shared" si="13"/>
        <v>-1</v>
      </c>
      <c r="AV48" s="170">
        <f t="shared" si="14"/>
        <v>-0.63211296527605632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32">
        <f t="shared" si="21"/>
        <v>0</v>
      </c>
    </row>
    <row r="49" spans="1:59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8"/>
      <c r="R49" s="84" t="s">
        <v>980</v>
      </c>
      <c r="S49" s="154" t="s">
        <v>981</v>
      </c>
      <c r="T49" s="162">
        <v>137686343</v>
      </c>
      <c r="U49" s="162">
        <v>383934353</v>
      </c>
      <c r="V49" s="162">
        <v>414155531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f t="shared" si="18"/>
        <v>935776227</v>
      </c>
      <c r="AG49" s="168"/>
      <c r="AH49" s="84" t="s">
        <v>980</v>
      </c>
      <c r="AI49" s="154" t="s">
        <v>981</v>
      </c>
      <c r="AJ49" s="171" t="e">
        <f t="shared" si="19"/>
        <v>#DIV/0!</v>
      </c>
      <c r="AK49" s="171" t="e">
        <f t="shared" si="3"/>
        <v>#DIV/0!</v>
      </c>
      <c r="AL49" s="171" t="e">
        <f t="shared" si="4"/>
        <v>#DIV/0!</v>
      </c>
      <c r="AM49" s="171" t="e">
        <f t="shared" si="5"/>
        <v>#DIV/0!</v>
      </c>
      <c r="AN49" s="171" t="e">
        <f t="shared" si="6"/>
        <v>#DIV/0!</v>
      </c>
      <c r="AO49" s="171" t="e">
        <f t="shared" si="7"/>
        <v>#DIV/0!</v>
      </c>
      <c r="AP49" s="171" t="e">
        <f t="shared" si="8"/>
        <v>#DIV/0!</v>
      </c>
      <c r="AQ49" s="171" t="e">
        <f t="shared" si="9"/>
        <v>#DIV/0!</v>
      </c>
      <c r="AR49" s="171" t="e">
        <f t="shared" si="10"/>
        <v>#DIV/0!</v>
      </c>
      <c r="AS49" s="171" t="e">
        <f t="shared" si="11"/>
        <v>#DIV/0!</v>
      </c>
      <c r="AT49" s="171" t="e">
        <f t="shared" si="12"/>
        <v>#DIV/0!</v>
      </c>
      <c r="AU49" s="171" t="e">
        <f t="shared" si="13"/>
        <v>#DIV/0!</v>
      </c>
      <c r="AV49" s="171" t="e">
        <f t="shared" si="14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32">
        <f t="shared" si="21"/>
        <v>0</v>
      </c>
    </row>
    <row r="50" spans="1:59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8"/>
      <c r="R50" s="84" t="s">
        <v>982</v>
      </c>
      <c r="S50" s="154" t="s">
        <v>489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>
        <f t="shared" si="18"/>
        <v>0</v>
      </c>
      <c r="AG50" s="168"/>
      <c r="AH50" s="84" t="s">
        <v>982</v>
      </c>
      <c r="AI50" s="154" t="s">
        <v>489</v>
      </c>
      <c r="AJ50" s="171" t="e">
        <f t="shared" si="19"/>
        <v>#DIV/0!</v>
      </c>
      <c r="AK50" s="171">
        <f t="shared" si="3"/>
        <v>-1</v>
      </c>
      <c r="AL50" s="171">
        <f t="shared" si="4"/>
        <v>-1</v>
      </c>
      <c r="AM50" s="171">
        <f t="shared" si="5"/>
        <v>-1</v>
      </c>
      <c r="AN50" s="171">
        <f t="shared" si="6"/>
        <v>-1</v>
      </c>
      <c r="AO50" s="171">
        <f t="shared" si="7"/>
        <v>-1</v>
      </c>
      <c r="AP50" s="171">
        <f t="shared" si="8"/>
        <v>-1</v>
      </c>
      <c r="AQ50" s="171">
        <f t="shared" si="9"/>
        <v>-1</v>
      </c>
      <c r="AR50" s="171">
        <f t="shared" si="10"/>
        <v>-1</v>
      </c>
      <c r="AS50" s="171">
        <f t="shared" si="11"/>
        <v>-1</v>
      </c>
      <c r="AT50" s="171">
        <f t="shared" si="12"/>
        <v>-1</v>
      </c>
      <c r="AU50" s="171">
        <f t="shared" si="13"/>
        <v>-1</v>
      </c>
      <c r="AV50" s="171">
        <f t="shared" si="14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32">
        <f t="shared" si="21"/>
        <v>0</v>
      </c>
    </row>
    <row r="51" spans="1:59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8"/>
      <c r="R51" s="69"/>
      <c r="S51" s="150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8"/>
      <c r="AH51" s="69"/>
      <c r="AI51" s="150"/>
      <c r="AJ51" s="170" t="e">
        <f t="shared" ref="AJ51:AU52" si="84">(T51-C51)/C51</f>
        <v>#DIV/0!</v>
      </c>
      <c r="AK51" s="170" t="e">
        <f t="shared" si="84"/>
        <v>#DIV/0!</v>
      </c>
      <c r="AL51" s="170" t="e">
        <f t="shared" si="84"/>
        <v>#DIV/0!</v>
      </c>
      <c r="AM51" s="170" t="e">
        <f t="shared" si="84"/>
        <v>#DIV/0!</v>
      </c>
      <c r="AN51" s="170" t="e">
        <f t="shared" si="84"/>
        <v>#DIV/0!</v>
      </c>
      <c r="AO51" s="170" t="e">
        <f t="shared" si="84"/>
        <v>#DIV/0!</v>
      </c>
      <c r="AP51" s="170" t="e">
        <f t="shared" si="84"/>
        <v>#DIV/0!</v>
      </c>
      <c r="AQ51" s="170" t="e">
        <f t="shared" si="84"/>
        <v>#DIV/0!</v>
      </c>
      <c r="AR51" s="170" t="e">
        <f t="shared" si="84"/>
        <v>#DIV/0!</v>
      </c>
      <c r="AS51" s="170" t="e">
        <f t="shared" si="84"/>
        <v>#DIV/0!</v>
      </c>
      <c r="AT51" s="170" t="e">
        <f t="shared" si="84"/>
        <v>#DIV/0!</v>
      </c>
      <c r="AU51" s="170" t="e">
        <f t="shared" si="84"/>
        <v>#DIV/0!</v>
      </c>
      <c r="AV51" s="170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32">
        <f t="shared" si="21"/>
        <v>0</v>
      </c>
    </row>
    <row r="52" spans="1:59" ht="16.5" customHeight="1" x14ac:dyDescent="0.25">
      <c r="A52" s="145" t="s">
        <v>984</v>
      </c>
      <c r="B52" s="146" t="s">
        <v>757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>
        <f t="shared" si="37"/>
        <v>0</v>
      </c>
      <c r="P52" s="52">
        <f>SUM(C52:N52)</f>
        <v>0</v>
      </c>
      <c r="Q52" s="168"/>
      <c r="R52" s="84"/>
      <c r="S52" s="154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>
        <f t="shared" si="18"/>
        <v>0</v>
      </c>
      <c r="AG52" s="168"/>
      <c r="AH52" s="84"/>
      <c r="AI52" s="154"/>
      <c r="AJ52" s="171" t="e">
        <f t="shared" si="84"/>
        <v>#DIV/0!</v>
      </c>
      <c r="AK52" s="171" t="e">
        <f t="shared" si="84"/>
        <v>#DIV/0!</v>
      </c>
      <c r="AL52" s="171" t="e">
        <f t="shared" si="84"/>
        <v>#DIV/0!</v>
      </c>
      <c r="AM52" s="171" t="e">
        <f t="shared" si="84"/>
        <v>#DIV/0!</v>
      </c>
      <c r="AN52" s="171" t="e">
        <f t="shared" si="84"/>
        <v>#DIV/0!</v>
      </c>
      <c r="AO52" s="171" t="e">
        <f t="shared" si="84"/>
        <v>#DIV/0!</v>
      </c>
      <c r="AP52" s="171" t="e">
        <f t="shared" si="84"/>
        <v>#DIV/0!</v>
      </c>
      <c r="AQ52" s="171" t="e">
        <f t="shared" si="84"/>
        <v>#DIV/0!</v>
      </c>
      <c r="AR52" s="171" t="e">
        <f t="shared" si="84"/>
        <v>#DIV/0!</v>
      </c>
      <c r="AS52" s="171" t="e">
        <f t="shared" si="84"/>
        <v>#DIV/0!</v>
      </c>
      <c r="AT52" s="171" t="e">
        <f t="shared" si="84"/>
        <v>#DIV/0!</v>
      </c>
      <c r="AU52" s="171" t="e">
        <f t="shared" si="84"/>
        <v>#DIV/0!</v>
      </c>
      <c r="AV52" s="171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32">
        <f t="shared" si="21"/>
        <v>0</v>
      </c>
    </row>
    <row r="53" spans="1:59" ht="16.5" customHeight="1" x14ac:dyDescent="0.25">
      <c r="A53" s="30">
        <v>102502</v>
      </c>
      <c r="B53" s="31" t="s">
        <v>801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8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9"/>
      <c r="AH53" s="66" t="s">
        <v>985</v>
      </c>
      <c r="AI53" s="149" t="s">
        <v>801</v>
      </c>
      <c r="AJ53" s="170">
        <f t="shared" si="19"/>
        <v>4.106427551020408</v>
      </c>
      <c r="AK53" s="170">
        <f t="shared" si="3"/>
        <v>-0.79877991687448047</v>
      </c>
      <c r="AL53" s="170">
        <f t="shared" si="4"/>
        <v>22.053012959183672</v>
      </c>
      <c r="AM53" s="170">
        <f t="shared" si="5"/>
        <v>-1</v>
      </c>
      <c r="AN53" s="170">
        <f t="shared" si="6"/>
        <v>-1</v>
      </c>
      <c r="AO53" s="170">
        <f t="shared" si="7"/>
        <v>-1</v>
      </c>
      <c r="AP53" s="170">
        <f t="shared" si="8"/>
        <v>-1</v>
      </c>
      <c r="AQ53" s="170">
        <f t="shared" si="9"/>
        <v>-1</v>
      </c>
      <c r="AR53" s="170">
        <f t="shared" si="10"/>
        <v>-1</v>
      </c>
      <c r="AS53" s="170">
        <f t="shared" si="11"/>
        <v>-1</v>
      </c>
      <c r="AT53" s="170">
        <f t="shared" si="12"/>
        <v>-1</v>
      </c>
      <c r="AU53" s="170">
        <f t="shared" si="13"/>
        <v>-1</v>
      </c>
      <c r="AV53" s="170">
        <f t="shared" si="14"/>
        <v>-0.43403833636028266</v>
      </c>
      <c r="AX53" s="66" t="s">
        <v>985</v>
      </c>
      <c r="AY53" s="66" t="s">
        <v>801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32">
        <f t="shared" si="21"/>
        <v>0</v>
      </c>
    </row>
    <row r="54" spans="1:59" ht="16.5" customHeight="1" x14ac:dyDescent="0.25">
      <c r="A54" s="35">
        <v>10250200</v>
      </c>
      <c r="B54" s="36" t="s">
        <v>196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8"/>
      <c r="R54" s="66" t="s">
        <v>986</v>
      </c>
      <c r="S54" s="149" t="s">
        <v>987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61">
        <f t="shared" ref="W54:AE54" si="89">+W55+W60</f>
        <v>0</v>
      </c>
      <c r="X54" s="161">
        <f t="shared" si="89"/>
        <v>0</v>
      </c>
      <c r="Y54" s="161">
        <f t="shared" si="89"/>
        <v>0</v>
      </c>
      <c r="Z54" s="161">
        <f t="shared" si="89"/>
        <v>0</v>
      </c>
      <c r="AA54" s="161">
        <f t="shared" si="89"/>
        <v>0</v>
      </c>
      <c r="AB54" s="161">
        <f t="shared" si="89"/>
        <v>0</v>
      </c>
      <c r="AC54" s="161">
        <f t="shared" si="89"/>
        <v>0</v>
      </c>
      <c r="AD54" s="161">
        <f t="shared" si="89"/>
        <v>0</v>
      </c>
      <c r="AE54" s="161">
        <f t="shared" si="89"/>
        <v>0</v>
      </c>
      <c r="AF54" s="161">
        <f t="shared" si="18"/>
        <v>260493500</v>
      </c>
      <c r="AG54" s="169"/>
      <c r="AH54" s="66" t="s">
        <v>986</v>
      </c>
      <c r="AI54" s="149" t="s">
        <v>987</v>
      </c>
      <c r="AJ54" s="170">
        <f t="shared" si="19"/>
        <v>3.8693710526315788</v>
      </c>
      <c r="AK54" s="170">
        <f t="shared" si="3"/>
        <v>-0.75791709844559585</v>
      </c>
      <c r="AL54" s="170">
        <f t="shared" si="4"/>
        <v>19.091944736842105</v>
      </c>
      <c r="AM54" s="170">
        <f t="shared" si="5"/>
        <v>-1</v>
      </c>
      <c r="AN54" s="170">
        <f t="shared" si="6"/>
        <v>-1</v>
      </c>
      <c r="AO54" s="170">
        <f t="shared" si="7"/>
        <v>-1</v>
      </c>
      <c r="AP54" s="170">
        <f t="shared" si="8"/>
        <v>-1</v>
      </c>
      <c r="AQ54" s="170">
        <f t="shared" si="9"/>
        <v>-1</v>
      </c>
      <c r="AR54" s="170">
        <f t="shared" si="10"/>
        <v>-1</v>
      </c>
      <c r="AS54" s="170">
        <f t="shared" si="11"/>
        <v>-1</v>
      </c>
      <c r="AT54" s="170">
        <f t="shared" si="12"/>
        <v>-1</v>
      </c>
      <c r="AU54" s="170">
        <f t="shared" si="13"/>
        <v>-1</v>
      </c>
      <c r="AV54" s="170">
        <f t="shared" si="14"/>
        <v>-0.44052083333333331</v>
      </c>
      <c r="AX54" s="66" t="s">
        <v>986</v>
      </c>
      <c r="AY54" s="66" t="s">
        <v>987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32">
        <f t="shared" si="21"/>
        <v>59850</v>
      </c>
    </row>
    <row r="55" spans="1:59" ht="16.5" customHeight="1" x14ac:dyDescent="0.25">
      <c r="A55" s="35">
        <v>102502001</v>
      </c>
      <c r="B55" s="36" t="s">
        <v>198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8"/>
      <c r="R55" s="69" t="s">
        <v>988</v>
      </c>
      <c r="S55" s="150" t="s">
        <v>198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61">
        <f t="shared" ref="W55:AE55" si="92">SUM(W56:W59)</f>
        <v>0</v>
      </c>
      <c r="X55" s="161">
        <f t="shared" si="92"/>
        <v>0</v>
      </c>
      <c r="Y55" s="161">
        <f t="shared" si="92"/>
        <v>0</v>
      </c>
      <c r="Z55" s="161">
        <f t="shared" si="92"/>
        <v>0</v>
      </c>
      <c r="AA55" s="161">
        <f t="shared" si="92"/>
        <v>0</v>
      </c>
      <c r="AB55" s="161">
        <f t="shared" si="92"/>
        <v>0</v>
      </c>
      <c r="AC55" s="161">
        <f t="shared" si="92"/>
        <v>0</v>
      </c>
      <c r="AD55" s="161">
        <f t="shared" si="92"/>
        <v>0</v>
      </c>
      <c r="AE55" s="161">
        <f t="shared" si="92"/>
        <v>0</v>
      </c>
      <c r="AF55" s="161">
        <f t="shared" si="18"/>
        <v>167264250</v>
      </c>
      <c r="AG55" s="168"/>
      <c r="AH55" s="69" t="s">
        <v>988</v>
      </c>
      <c r="AI55" s="150" t="s">
        <v>198</v>
      </c>
      <c r="AJ55" s="170" t="e">
        <f t="shared" si="19"/>
        <v>#DIV/0!</v>
      </c>
      <c r="AK55" s="170">
        <f t="shared" si="3"/>
        <v>-0.98689080459770118</v>
      </c>
      <c r="AL55" s="170" t="e">
        <f t="shared" si="4"/>
        <v>#DIV/0!</v>
      </c>
      <c r="AM55" s="170">
        <f t="shared" si="5"/>
        <v>-1</v>
      </c>
      <c r="AN55" s="170" t="e">
        <f t="shared" si="6"/>
        <v>#DIV/0!</v>
      </c>
      <c r="AO55" s="170">
        <f t="shared" si="7"/>
        <v>-1</v>
      </c>
      <c r="AP55" s="170" t="e">
        <f t="shared" si="8"/>
        <v>#DIV/0!</v>
      </c>
      <c r="AQ55" s="170">
        <f t="shared" si="9"/>
        <v>-1</v>
      </c>
      <c r="AR55" s="170">
        <f t="shared" si="10"/>
        <v>-1</v>
      </c>
      <c r="AS55" s="170" t="e">
        <f t="shared" si="11"/>
        <v>#DIV/0!</v>
      </c>
      <c r="AT55" s="170">
        <f t="shared" si="12"/>
        <v>-1</v>
      </c>
      <c r="AU55" s="170">
        <f t="shared" si="13"/>
        <v>-1</v>
      </c>
      <c r="AV55" s="170">
        <f t="shared" si="14"/>
        <v>-0.52427687713310578</v>
      </c>
      <c r="AX55" s="69" t="s">
        <v>988</v>
      </c>
      <c r="AY55" s="69" t="s">
        <v>198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32">
        <f t="shared" si="21"/>
        <v>0</v>
      </c>
    </row>
    <row r="56" spans="1:59" ht="16.5" customHeight="1" x14ac:dyDescent="0.25">
      <c r="A56" s="37">
        <v>10250200101</v>
      </c>
      <c r="B56" s="38" t="s">
        <v>732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8"/>
      <c r="R56" s="84" t="s">
        <v>989</v>
      </c>
      <c r="S56" s="154" t="s">
        <v>732</v>
      </c>
      <c r="T56" s="162">
        <v>46259025</v>
      </c>
      <c r="U56" s="162"/>
      <c r="V56" s="162">
        <v>57018591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>
        <f t="shared" si="18"/>
        <v>103277616</v>
      </c>
      <c r="AG56" s="168"/>
      <c r="AH56" s="84" t="s">
        <v>989</v>
      </c>
      <c r="AI56" s="154" t="s">
        <v>732</v>
      </c>
      <c r="AJ56" s="171" t="e">
        <f t="shared" si="19"/>
        <v>#DIV/0!</v>
      </c>
      <c r="AK56" s="171">
        <f t="shared" si="3"/>
        <v>-1</v>
      </c>
      <c r="AL56" s="171" t="e">
        <f t="shared" si="4"/>
        <v>#DIV/0!</v>
      </c>
      <c r="AM56" s="171">
        <f t="shared" si="5"/>
        <v>-1</v>
      </c>
      <c r="AN56" s="171" t="e">
        <f t="shared" si="6"/>
        <v>#DIV/0!</v>
      </c>
      <c r="AO56" s="171">
        <f t="shared" si="7"/>
        <v>-1</v>
      </c>
      <c r="AP56" s="171" t="e">
        <f t="shared" si="8"/>
        <v>#DIV/0!</v>
      </c>
      <c r="AQ56" s="171" t="e">
        <f t="shared" si="9"/>
        <v>#DIV/0!</v>
      </c>
      <c r="AR56" s="171">
        <f t="shared" si="10"/>
        <v>-1</v>
      </c>
      <c r="AS56" s="171" t="e">
        <f t="shared" si="11"/>
        <v>#DIV/0!</v>
      </c>
      <c r="AT56" s="171">
        <f t="shared" si="12"/>
        <v>-1</v>
      </c>
      <c r="AU56" s="171" t="e">
        <f t="shared" si="13"/>
        <v>#DIV/0!</v>
      </c>
      <c r="AV56" s="171">
        <f t="shared" si="14"/>
        <v>-0.65574127999999998</v>
      </c>
      <c r="AX56" s="84" t="s">
        <v>989</v>
      </c>
      <c r="AY56" s="84" t="s">
        <v>732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32">
        <f t="shared" si="21"/>
        <v>0</v>
      </c>
    </row>
    <row r="57" spans="1:59" ht="16.5" customHeight="1" x14ac:dyDescent="0.25">
      <c r="A57" s="37">
        <v>10250200102</v>
      </c>
      <c r="B57" s="38" t="s">
        <v>200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8"/>
      <c r="R57" s="84" t="s">
        <v>990</v>
      </c>
      <c r="S57" s="154" t="s">
        <v>200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>
        <f t="shared" si="18"/>
        <v>0</v>
      </c>
      <c r="AG57" s="168"/>
      <c r="AH57" s="84" t="s">
        <v>990</v>
      </c>
      <c r="AI57" s="154" t="s">
        <v>200</v>
      </c>
      <c r="AJ57" s="171" t="e">
        <f t="shared" si="19"/>
        <v>#DIV/0!</v>
      </c>
      <c r="AK57" s="171" t="e">
        <f t="shared" si="3"/>
        <v>#DIV/0!</v>
      </c>
      <c r="AL57" s="171" t="e">
        <f t="shared" si="4"/>
        <v>#DIV/0!</v>
      </c>
      <c r="AM57" s="171" t="e">
        <f t="shared" si="5"/>
        <v>#DIV/0!</v>
      </c>
      <c r="AN57" s="171" t="e">
        <f t="shared" si="6"/>
        <v>#DIV/0!</v>
      </c>
      <c r="AO57" s="171">
        <f t="shared" si="7"/>
        <v>-1</v>
      </c>
      <c r="AP57" s="171" t="e">
        <f t="shared" si="8"/>
        <v>#DIV/0!</v>
      </c>
      <c r="AQ57" s="171" t="e">
        <f t="shared" si="9"/>
        <v>#DIV/0!</v>
      </c>
      <c r="AR57" s="171" t="e">
        <f t="shared" si="10"/>
        <v>#DIV/0!</v>
      </c>
      <c r="AS57" s="171" t="e">
        <f t="shared" si="11"/>
        <v>#DIV/0!</v>
      </c>
      <c r="AT57" s="171" t="e">
        <f t="shared" si="12"/>
        <v>#DIV/0!</v>
      </c>
      <c r="AU57" s="171" t="e">
        <f t="shared" si="13"/>
        <v>#DIV/0!</v>
      </c>
      <c r="AV57" s="171">
        <f t="shared" si="14"/>
        <v>-1</v>
      </c>
      <c r="AX57" s="84" t="s">
        <v>990</v>
      </c>
      <c r="AY57" s="84" t="s">
        <v>200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32">
        <f t="shared" si="21"/>
        <v>0</v>
      </c>
    </row>
    <row r="58" spans="1:59" ht="16.5" customHeight="1" x14ac:dyDescent="0.25">
      <c r="A58" s="37">
        <v>10250200104</v>
      </c>
      <c r="B58" s="38" t="s">
        <v>202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8"/>
      <c r="R58" s="84" t="s">
        <v>991</v>
      </c>
      <c r="S58" s="154" t="s">
        <v>202</v>
      </c>
      <c r="T58" s="162"/>
      <c r="U58" s="162">
        <v>220500</v>
      </c>
      <c r="V58" s="162">
        <v>54502134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>
        <f t="shared" si="18"/>
        <v>54722634</v>
      </c>
      <c r="AG58" s="168"/>
      <c r="AH58" s="84" t="s">
        <v>991</v>
      </c>
      <c r="AI58" s="154" t="s">
        <v>202</v>
      </c>
      <c r="AJ58" s="171" t="e">
        <f t="shared" si="19"/>
        <v>#DIV/0!</v>
      </c>
      <c r="AK58" s="171" t="e">
        <f t="shared" si="3"/>
        <v>#DIV/0!</v>
      </c>
      <c r="AL58" s="171" t="e">
        <f t="shared" si="4"/>
        <v>#DIV/0!</v>
      </c>
      <c r="AM58" s="171" t="e">
        <f t="shared" si="5"/>
        <v>#DIV/0!</v>
      </c>
      <c r="AN58" s="171" t="e">
        <f t="shared" si="6"/>
        <v>#DIV/0!</v>
      </c>
      <c r="AO58" s="171" t="e">
        <f t="shared" si="7"/>
        <v>#DIV/0!</v>
      </c>
      <c r="AP58" s="171" t="e">
        <f t="shared" si="8"/>
        <v>#DIV/0!</v>
      </c>
      <c r="AQ58" s="171">
        <f t="shared" si="9"/>
        <v>-1</v>
      </c>
      <c r="AR58" s="171" t="e">
        <f t="shared" si="10"/>
        <v>#DIV/0!</v>
      </c>
      <c r="AS58" s="171" t="e">
        <f t="shared" si="11"/>
        <v>#DIV/0!</v>
      </c>
      <c r="AT58" s="171" t="e">
        <f t="shared" si="12"/>
        <v>#DIV/0!</v>
      </c>
      <c r="AU58" s="171">
        <f t="shared" si="13"/>
        <v>-1</v>
      </c>
      <c r="AV58" s="171">
        <f t="shared" si="14"/>
        <v>0.74553856459330148</v>
      </c>
      <c r="AX58" s="84" t="s">
        <v>991</v>
      </c>
      <c r="AY58" s="84" t="s">
        <v>202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32">
        <f t="shared" si="21"/>
        <v>0</v>
      </c>
    </row>
    <row r="59" spans="1:59" ht="16.5" customHeight="1" x14ac:dyDescent="0.25">
      <c r="A59" s="37">
        <v>10250200109</v>
      </c>
      <c r="B59" s="38" t="s">
        <v>733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8"/>
      <c r="R59" s="84" t="s">
        <v>992</v>
      </c>
      <c r="S59" s="154" t="s">
        <v>993</v>
      </c>
      <c r="T59" s="162"/>
      <c r="U59" s="162">
        <v>920000</v>
      </c>
      <c r="V59" s="162">
        <v>8344000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>
        <f t="shared" si="18"/>
        <v>9264000</v>
      </c>
      <c r="AG59" s="168"/>
      <c r="AH59" s="84" t="s">
        <v>992</v>
      </c>
      <c r="AI59" s="154" t="s">
        <v>993</v>
      </c>
      <c r="AJ59" s="171" t="e">
        <f t="shared" si="19"/>
        <v>#DIV/0!</v>
      </c>
      <c r="AK59" s="171">
        <f t="shared" si="3"/>
        <v>-0.86857142857142855</v>
      </c>
      <c r="AL59" s="171" t="e">
        <f t="shared" si="4"/>
        <v>#DIV/0!</v>
      </c>
      <c r="AM59" s="171" t="e">
        <f t="shared" si="5"/>
        <v>#DIV/0!</v>
      </c>
      <c r="AN59" s="171" t="e">
        <f t="shared" si="6"/>
        <v>#DIV/0!</v>
      </c>
      <c r="AO59" s="171">
        <f t="shared" si="7"/>
        <v>-1</v>
      </c>
      <c r="AP59" s="171" t="e">
        <f t="shared" si="8"/>
        <v>#DIV/0!</v>
      </c>
      <c r="AQ59" s="171" t="e">
        <f t="shared" si="9"/>
        <v>#DIV/0!</v>
      </c>
      <c r="AR59" s="171" t="e">
        <f t="shared" si="10"/>
        <v>#DIV/0!</v>
      </c>
      <c r="AS59" s="171" t="e">
        <f t="shared" si="11"/>
        <v>#DIV/0!</v>
      </c>
      <c r="AT59" s="171">
        <f t="shared" si="12"/>
        <v>-1</v>
      </c>
      <c r="AU59" s="171" t="e">
        <f t="shared" si="13"/>
        <v>#DIV/0!</v>
      </c>
      <c r="AV59" s="171">
        <f t="shared" si="14"/>
        <v>-0.53680000000000005</v>
      </c>
      <c r="AX59" s="84" t="s">
        <v>992</v>
      </c>
      <c r="AY59" s="84" t="s">
        <v>993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32">
        <f t="shared" si="21"/>
        <v>0</v>
      </c>
    </row>
    <row r="60" spans="1:59" ht="16.5" customHeight="1" x14ac:dyDescent="0.25">
      <c r="A60" s="30">
        <v>102502002</v>
      </c>
      <c r="B60" s="31" t="s">
        <v>206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8"/>
      <c r="R60" s="69" t="s">
        <v>994</v>
      </c>
      <c r="S60" s="150" t="s">
        <v>995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61">
        <f t="shared" ref="W60:AE60" si="95">SUM(W61:W63)</f>
        <v>0</v>
      </c>
      <c r="X60" s="161">
        <f t="shared" si="95"/>
        <v>0</v>
      </c>
      <c r="Y60" s="161">
        <f t="shared" si="95"/>
        <v>0</v>
      </c>
      <c r="Z60" s="161">
        <f t="shared" si="95"/>
        <v>0</v>
      </c>
      <c r="AA60" s="161">
        <f t="shared" si="95"/>
        <v>0</v>
      </c>
      <c r="AB60" s="161">
        <f t="shared" si="95"/>
        <v>0</v>
      </c>
      <c r="AC60" s="161">
        <f t="shared" si="95"/>
        <v>0</v>
      </c>
      <c r="AD60" s="161">
        <f t="shared" si="95"/>
        <v>0</v>
      </c>
      <c r="AE60" s="161">
        <f t="shared" si="95"/>
        <v>0</v>
      </c>
      <c r="AF60" s="161">
        <f t="shared" si="18"/>
        <v>93229250</v>
      </c>
      <c r="AG60" s="168"/>
      <c r="AH60" s="69" t="s">
        <v>994</v>
      </c>
      <c r="AI60" s="150" t="s">
        <v>995</v>
      </c>
      <c r="AJ60" s="170">
        <f t="shared" si="19"/>
        <v>-1</v>
      </c>
      <c r="AK60" s="170">
        <f t="shared" si="3"/>
        <v>1.339</v>
      </c>
      <c r="AL60" s="170">
        <f t="shared" si="4"/>
        <v>6.474605263157895</v>
      </c>
      <c r="AM60" s="170">
        <f t="shared" si="5"/>
        <v>-1</v>
      </c>
      <c r="AN60" s="170">
        <f t="shared" si="6"/>
        <v>-1</v>
      </c>
      <c r="AO60" s="170">
        <f t="shared" si="7"/>
        <v>-1</v>
      </c>
      <c r="AP60" s="170">
        <f t="shared" si="8"/>
        <v>-1</v>
      </c>
      <c r="AQ60" s="170">
        <f t="shared" si="9"/>
        <v>-1</v>
      </c>
      <c r="AR60" s="170">
        <f t="shared" si="10"/>
        <v>-1</v>
      </c>
      <c r="AS60" s="170">
        <f t="shared" si="11"/>
        <v>-1</v>
      </c>
      <c r="AT60" s="170">
        <f t="shared" si="12"/>
        <v>-1</v>
      </c>
      <c r="AU60" s="170">
        <f t="shared" si="13"/>
        <v>-1</v>
      </c>
      <c r="AV60" s="170">
        <f t="shared" si="14"/>
        <v>-0.18219956140350876</v>
      </c>
      <c r="AX60" s="69" t="s">
        <v>994</v>
      </c>
      <c r="AY60" s="69" t="s">
        <v>995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32">
        <f t="shared" si="21"/>
        <v>0</v>
      </c>
    </row>
    <row r="61" spans="1:59" ht="16.5" customHeight="1" x14ac:dyDescent="0.25">
      <c r="A61" s="37">
        <v>10250200201</v>
      </c>
      <c r="B61" s="38" t="s">
        <v>208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8"/>
      <c r="R61" s="84" t="s">
        <v>996</v>
      </c>
      <c r="S61" s="154" t="s">
        <v>208</v>
      </c>
      <c r="T61" s="162"/>
      <c r="U61" s="162">
        <v>7918000</v>
      </c>
      <c r="V61" s="162">
        <v>18472300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>
        <f t="shared" si="18"/>
        <v>26390300</v>
      </c>
      <c r="AG61" s="168"/>
      <c r="AH61" s="84" t="s">
        <v>996</v>
      </c>
      <c r="AI61" s="154" t="s">
        <v>208</v>
      </c>
      <c r="AJ61" s="171">
        <f t="shared" si="19"/>
        <v>-1</v>
      </c>
      <c r="AK61" s="171">
        <f t="shared" si="3"/>
        <v>0.97950000000000004</v>
      </c>
      <c r="AL61" s="171">
        <f t="shared" si="4"/>
        <v>3.6180750000000002</v>
      </c>
      <c r="AM61" s="171">
        <f t="shared" si="5"/>
        <v>-1</v>
      </c>
      <c r="AN61" s="171">
        <f t="shared" si="6"/>
        <v>-1</v>
      </c>
      <c r="AO61" s="171">
        <f t="shared" si="7"/>
        <v>-1</v>
      </c>
      <c r="AP61" s="171">
        <f t="shared" si="8"/>
        <v>-1</v>
      </c>
      <c r="AQ61" s="171">
        <f t="shared" si="9"/>
        <v>-1</v>
      </c>
      <c r="AR61" s="171">
        <f t="shared" si="10"/>
        <v>-1</v>
      </c>
      <c r="AS61" s="171">
        <f t="shared" si="11"/>
        <v>-1</v>
      </c>
      <c r="AT61" s="171">
        <f t="shared" si="12"/>
        <v>-1</v>
      </c>
      <c r="AU61" s="171">
        <f t="shared" si="13"/>
        <v>-1</v>
      </c>
      <c r="AV61" s="171">
        <f t="shared" si="14"/>
        <v>-0.45020208333333334</v>
      </c>
      <c r="AX61" s="84" t="s">
        <v>996</v>
      </c>
      <c r="AY61" s="84" t="s">
        <v>208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32">
        <f t="shared" si="21"/>
        <v>0</v>
      </c>
    </row>
    <row r="62" spans="1:59" ht="16.5" customHeight="1" x14ac:dyDescent="0.25">
      <c r="A62" s="37">
        <v>10250200202</v>
      </c>
      <c r="B62" s="38" t="s">
        <v>220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8"/>
      <c r="R62" s="84" t="s">
        <v>997</v>
      </c>
      <c r="S62" s="154" t="s">
        <v>220</v>
      </c>
      <c r="T62" s="162"/>
      <c r="U62" s="162">
        <v>1320000</v>
      </c>
      <c r="V62" s="162">
        <v>34445950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2">
        <f t="shared" si="18"/>
        <v>35765950</v>
      </c>
      <c r="AG62" s="168"/>
      <c r="AH62" s="84" t="s">
        <v>997</v>
      </c>
      <c r="AI62" s="154" t="s">
        <v>220</v>
      </c>
      <c r="AJ62" s="171">
        <f t="shared" si="19"/>
        <v>-1</v>
      </c>
      <c r="AK62" s="171">
        <f t="shared" si="3"/>
        <v>0.32</v>
      </c>
      <c r="AL62" s="171">
        <f t="shared" si="4"/>
        <v>33.445950000000003</v>
      </c>
      <c r="AM62" s="171">
        <f t="shared" si="5"/>
        <v>-1</v>
      </c>
      <c r="AN62" s="171">
        <f t="shared" si="6"/>
        <v>-1</v>
      </c>
      <c r="AO62" s="171">
        <f t="shared" si="7"/>
        <v>-1</v>
      </c>
      <c r="AP62" s="171">
        <f t="shared" si="8"/>
        <v>-1</v>
      </c>
      <c r="AQ62" s="171">
        <f t="shared" si="9"/>
        <v>-1</v>
      </c>
      <c r="AR62" s="171">
        <f t="shared" si="10"/>
        <v>-1</v>
      </c>
      <c r="AS62" s="171">
        <f t="shared" si="11"/>
        <v>-1</v>
      </c>
      <c r="AT62" s="171">
        <f t="shared" si="12"/>
        <v>-1</v>
      </c>
      <c r="AU62" s="171">
        <f t="shared" si="13"/>
        <v>-1</v>
      </c>
      <c r="AV62" s="171">
        <f t="shared" si="14"/>
        <v>1.9804958333333333</v>
      </c>
      <c r="AX62" s="84" t="s">
        <v>997</v>
      </c>
      <c r="AY62" s="84" t="s">
        <v>220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32">
        <f t="shared" si="21"/>
        <v>0</v>
      </c>
    </row>
    <row r="63" spans="1:59" ht="16.5" customHeight="1" x14ac:dyDescent="0.25">
      <c r="A63" s="37">
        <v>10250200203</v>
      </c>
      <c r="B63" s="38" t="s">
        <v>734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8"/>
      <c r="R63" s="84" t="s">
        <v>998</v>
      </c>
      <c r="S63" s="154" t="s">
        <v>999</v>
      </c>
      <c r="T63" s="162"/>
      <c r="U63" s="162">
        <v>12982500</v>
      </c>
      <c r="V63" s="162">
        <v>18090500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>
        <f t="shared" si="18"/>
        <v>31073000</v>
      </c>
      <c r="AG63" s="168"/>
      <c r="AH63" s="84" t="s">
        <v>998</v>
      </c>
      <c r="AI63" s="154" t="s">
        <v>999</v>
      </c>
      <c r="AJ63" s="171">
        <f t="shared" si="19"/>
        <v>-1</v>
      </c>
      <c r="AK63" s="171">
        <f t="shared" si="3"/>
        <v>1.885</v>
      </c>
      <c r="AL63" s="171">
        <f t="shared" si="4"/>
        <v>3.020111111111111</v>
      </c>
      <c r="AM63" s="171">
        <f t="shared" si="5"/>
        <v>-1</v>
      </c>
      <c r="AN63" s="171">
        <f t="shared" si="6"/>
        <v>-1</v>
      </c>
      <c r="AO63" s="171">
        <f t="shared" si="7"/>
        <v>-1</v>
      </c>
      <c r="AP63" s="171">
        <f t="shared" si="8"/>
        <v>-1</v>
      </c>
      <c r="AQ63" s="171">
        <f t="shared" si="9"/>
        <v>-1</v>
      </c>
      <c r="AR63" s="171">
        <f t="shared" si="10"/>
        <v>-1</v>
      </c>
      <c r="AS63" s="171">
        <f t="shared" si="11"/>
        <v>-1</v>
      </c>
      <c r="AT63" s="171">
        <f t="shared" si="12"/>
        <v>-1</v>
      </c>
      <c r="AU63" s="171">
        <f t="shared" si="13"/>
        <v>-1</v>
      </c>
      <c r="AV63" s="171">
        <f t="shared" si="14"/>
        <v>-0.42457407407407405</v>
      </c>
      <c r="AX63" s="84" t="s">
        <v>998</v>
      </c>
      <c r="AY63" s="84" t="s">
        <v>999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32">
        <f t="shared" si="21"/>
        <v>0</v>
      </c>
    </row>
    <row r="64" spans="1:59" ht="16.5" customHeight="1" x14ac:dyDescent="0.25">
      <c r="A64" s="30" t="s">
        <v>1000</v>
      </c>
      <c r="B64" s="31" t="s">
        <v>802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8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8"/>
      <c r="AH64" s="69" t="s">
        <v>1000</v>
      </c>
      <c r="AI64" s="150" t="s">
        <v>802</v>
      </c>
      <c r="AJ64" s="170" t="e">
        <f t="shared" si="19"/>
        <v>#DIV/0!</v>
      </c>
      <c r="AK64" s="170" t="e">
        <f t="shared" si="3"/>
        <v>#DIV/0!</v>
      </c>
      <c r="AL64" s="170" t="e">
        <f t="shared" si="4"/>
        <v>#DIV/0!</v>
      </c>
      <c r="AM64" s="170" t="e">
        <f t="shared" si="5"/>
        <v>#DIV/0!</v>
      </c>
      <c r="AN64" s="170" t="e">
        <f t="shared" si="6"/>
        <v>#DIV/0!</v>
      </c>
      <c r="AO64" s="170" t="e">
        <f t="shared" si="7"/>
        <v>#DIV/0!</v>
      </c>
      <c r="AP64" s="170" t="e">
        <f t="shared" si="8"/>
        <v>#DIV/0!</v>
      </c>
      <c r="AQ64" s="170" t="e">
        <f t="shared" si="9"/>
        <v>#DIV/0!</v>
      </c>
      <c r="AR64" s="170" t="e">
        <f t="shared" si="10"/>
        <v>#DIV/0!</v>
      </c>
      <c r="AS64" s="170" t="e">
        <f t="shared" si="11"/>
        <v>#DIV/0!</v>
      </c>
      <c r="AT64" s="170" t="e">
        <f t="shared" si="12"/>
        <v>#DIV/0!</v>
      </c>
      <c r="AU64" s="170" t="e">
        <f t="shared" si="13"/>
        <v>#DIV/0!</v>
      </c>
      <c r="AV64" s="170" t="e">
        <f t="shared" si="14"/>
        <v>#DIV/0!</v>
      </c>
      <c r="AX64" s="69" t="s">
        <v>1000</v>
      </c>
      <c r="AY64" s="69" t="s">
        <v>802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32">
        <f t="shared" si="21"/>
        <v>0</v>
      </c>
    </row>
    <row r="65" spans="1:59" ht="16.5" customHeight="1" x14ac:dyDescent="0.25">
      <c r="A65" s="30" t="s">
        <v>1001</v>
      </c>
      <c r="B65" s="31" t="s">
        <v>805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8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8"/>
      <c r="AH65" s="69" t="s">
        <v>1001</v>
      </c>
      <c r="AI65" s="150" t="s">
        <v>805</v>
      </c>
      <c r="AJ65" s="170" t="e">
        <f t="shared" si="19"/>
        <v>#DIV/0!</v>
      </c>
      <c r="AK65" s="170" t="e">
        <f t="shared" si="3"/>
        <v>#DIV/0!</v>
      </c>
      <c r="AL65" s="170" t="e">
        <f t="shared" si="4"/>
        <v>#DIV/0!</v>
      </c>
      <c r="AM65" s="170" t="e">
        <f t="shared" si="5"/>
        <v>#DIV/0!</v>
      </c>
      <c r="AN65" s="170" t="e">
        <f t="shared" si="6"/>
        <v>#DIV/0!</v>
      </c>
      <c r="AO65" s="170" t="e">
        <f t="shared" si="7"/>
        <v>#DIV/0!</v>
      </c>
      <c r="AP65" s="170" t="e">
        <f t="shared" si="8"/>
        <v>#DIV/0!</v>
      </c>
      <c r="AQ65" s="170" t="e">
        <f t="shared" si="9"/>
        <v>#DIV/0!</v>
      </c>
      <c r="AR65" s="170" t="e">
        <f t="shared" si="10"/>
        <v>#DIV/0!</v>
      </c>
      <c r="AS65" s="170" t="e">
        <f t="shared" si="11"/>
        <v>#DIV/0!</v>
      </c>
      <c r="AT65" s="170" t="e">
        <f t="shared" si="12"/>
        <v>#DIV/0!</v>
      </c>
      <c r="AU65" s="170" t="e">
        <f t="shared" si="13"/>
        <v>#DIV/0!</v>
      </c>
      <c r="AV65" s="170" t="e">
        <f t="shared" si="14"/>
        <v>#DIV/0!</v>
      </c>
      <c r="AX65" s="82" t="s">
        <v>1001</v>
      </c>
      <c r="AY65" s="84" t="s">
        <v>805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32">
        <f t="shared" si="21"/>
        <v>0</v>
      </c>
    </row>
    <row r="66" spans="1:59" ht="16.5" customHeight="1" x14ac:dyDescent="0.25">
      <c r="A66" s="37" t="s">
        <v>1002</v>
      </c>
      <c r="B66" s="38" t="s">
        <v>742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8"/>
      <c r="R66" s="84" t="s">
        <v>1002</v>
      </c>
      <c r="S66" s="154" t="s">
        <v>742</v>
      </c>
      <c r="T66" s="162">
        <v>59850</v>
      </c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>
        <f t="shared" si="18"/>
        <v>59850</v>
      </c>
      <c r="AG66" s="168"/>
      <c r="AH66" s="84" t="s">
        <v>1002</v>
      </c>
      <c r="AI66" s="154" t="s">
        <v>742</v>
      </c>
      <c r="AJ66" s="171" t="e">
        <f t="shared" si="19"/>
        <v>#DIV/0!</v>
      </c>
      <c r="AK66" s="171" t="e">
        <f t="shared" si="3"/>
        <v>#DIV/0!</v>
      </c>
      <c r="AL66" s="171" t="e">
        <f t="shared" si="4"/>
        <v>#DIV/0!</v>
      </c>
      <c r="AM66" s="171" t="e">
        <f t="shared" si="5"/>
        <v>#DIV/0!</v>
      </c>
      <c r="AN66" s="171" t="e">
        <f t="shared" si="6"/>
        <v>#DIV/0!</v>
      </c>
      <c r="AO66" s="171" t="e">
        <f t="shared" si="7"/>
        <v>#DIV/0!</v>
      </c>
      <c r="AP66" s="171" t="e">
        <f t="shared" si="8"/>
        <v>#DIV/0!</v>
      </c>
      <c r="AQ66" s="171" t="e">
        <f t="shared" si="9"/>
        <v>#DIV/0!</v>
      </c>
      <c r="AR66" s="171" t="e">
        <f t="shared" si="10"/>
        <v>#DIV/0!</v>
      </c>
      <c r="AS66" s="171" t="e">
        <f t="shared" si="11"/>
        <v>#DIV/0!</v>
      </c>
      <c r="AT66" s="171" t="e">
        <f t="shared" si="12"/>
        <v>#DIV/0!</v>
      </c>
      <c r="AU66" s="171" t="e">
        <f t="shared" si="13"/>
        <v>#DIV/0!</v>
      </c>
      <c r="AV66" s="171" t="e">
        <f t="shared" si="14"/>
        <v>#DIV/0!</v>
      </c>
      <c r="AX66" s="82" t="s">
        <v>1002</v>
      </c>
      <c r="AY66" s="84" t="s">
        <v>742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32">
        <f t="shared" si="21"/>
        <v>0</v>
      </c>
    </row>
    <row r="67" spans="1:59" ht="16.5" customHeight="1" x14ac:dyDescent="0.25">
      <c r="A67" s="30">
        <v>10250206</v>
      </c>
      <c r="B67" s="31" t="s">
        <v>806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8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9"/>
      <c r="AH67" s="66" t="s">
        <v>1003</v>
      </c>
      <c r="AI67" s="149" t="s">
        <v>1004</v>
      </c>
      <c r="AJ67" s="170">
        <f t="shared" si="19"/>
        <v>-0.91961666666666664</v>
      </c>
      <c r="AK67" s="170">
        <f t="shared" si="3"/>
        <v>-0.51407999999999998</v>
      </c>
      <c r="AL67" s="170">
        <f t="shared" si="4"/>
        <v>11.114446666666666</v>
      </c>
      <c r="AM67" s="170">
        <f t="shared" si="5"/>
        <v>-1</v>
      </c>
      <c r="AN67" s="170">
        <f t="shared" si="6"/>
        <v>-1</v>
      </c>
      <c r="AO67" s="170">
        <f t="shared" si="7"/>
        <v>-1</v>
      </c>
      <c r="AP67" s="170">
        <f t="shared" si="8"/>
        <v>-1</v>
      </c>
      <c r="AQ67" s="170">
        <f t="shared" si="9"/>
        <v>-1</v>
      </c>
      <c r="AR67" s="170">
        <f t="shared" si="10"/>
        <v>-1</v>
      </c>
      <c r="AS67" s="170">
        <f t="shared" si="11"/>
        <v>-1</v>
      </c>
      <c r="AT67" s="170">
        <f t="shared" si="12"/>
        <v>-1</v>
      </c>
      <c r="AU67" s="170">
        <f t="shared" si="13"/>
        <v>-1</v>
      </c>
      <c r="AV67" s="170">
        <f t="shared" si="14"/>
        <v>5.6729166666666664E-2</v>
      </c>
      <c r="AX67" s="66" t="s">
        <v>1003</v>
      </c>
      <c r="AY67" s="66" t="s">
        <v>1004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32">
        <f t="shared" si="21"/>
        <v>0</v>
      </c>
    </row>
    <row r="68" spans="1:59" ht="16.5" customHeight="1" x14ac:dyDescent="0.25">
      <c r="A68" s="30" t="s">
        <v>1005</v>
      </c>
      <c r="B68" s="31" t="s">
        <v>1006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8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9"/>
      <c r="AH68" s="66"/>
      <c r="AI68" s="149"/>
      <c r="AJ68" s="170" t="e">
        <f t="shared" ref="AJ68:AU69" si="102">(T68-C68)/C68</f>
        <v>#DIV/0!</v>
      </c>
      <c r="AK68" s="170" t="e">
        <f t="shared" si="102"/>
        <v>#DIV/0!</v>
      </c>
      <c r="AL68" s="170" t="e">
        <f t="shared" si="102"/>
        <v>#DIV/0!</v>
      </c>
      <c r="AM68" s="170" t="e">
        <f t="shared" si="102"/>
        <v>#DIV/0!</v>
      </c>
      <c r="AN68" s="170" t="e">
        <f t="shared" si="102"/>
        <v>#DIV/0!</v>
      </c>
      <c r="AO68" s="170" t="e">
        <f t="shared" si="102"/>
        <v>#DIV/0!</v>
      </c>
      <c r="AP68" s="170" t="e">
        <f t="shared" si="102"/>
        <v>#DIV/0!</v>
      </c>
      <c r="AQ68" s="170" t="e">
        <f t="shared" si="102"/>
        <v>#DIV/0!</v>
      </c>
      <c r="AR68" s="170" t="e">
        <f t="shared" si="102"/>
        <v>#DIV/0!</v>
      </c>
      <c r="AS68" s="170" t="e">
        <f t="shared" si="102"/>
        <v>#DIV/0!</v>
      </c>
      <c r="AT68" s="170" t="e">
        <f t="shared" si="102"/>
        <v>#DIV/0!</v>
      </c>
      <c r="AU68" s="170" t="e">
        <f t="shared" si="102"/>
        <v>#DIV/0!</v>
      </c>
      <c r="AV68" s="170" t="e">
        <f>(AF68-P68)/P68</f>
        <v>#DIV/0!</v>
      </c>
      <c r="AX68" s="66" t="s">
        <v>1005</v>
      </c>
      <c r="AY68" s="66" t="s">
        <v>1006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32">
        <f t="shared" si="21"/>
        <v>0</v>
      </c>
    </row>
    <row r="69" spans="1:59" ht="16.5" customHeight="1" x14ac:dyDescent="0.25">
      <c r="A69" s="37" t="s">
        <v>1007</v>
      </c>
      <c r="B69" s="38" t="s">
        <v>370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8"/>
      <c r="R69" s="84"/>
      <c r="S69" s="154"/>
      <c r="T69" s="162"/>
      <c r="U69" s="162"/>
      <c r="V69" s="162">
        <v>3501800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>
        <f t="shared" si="18"/>
        <v>3501800</v>
      </c>
      <c r="AG69" s="168"/>
      <c r="AH69" s="84"/>
      <c r="AI69" s="154"/>
      <c r="AJ69" s="171" t="e">
        <f t="shared" si="102"/>
        <v>#DIV/0!</v>
      </c>
      <c r="AK69" s="171" t="e">
        <f t="shared" si="102"/>
        <v>#DIV/0!</v>
      </c>
      <c r="AL69" s="171" t="e">
        <f t="shared" si="102"/>
        <v>#DIV/0!</v>
      </c>
      <c r="AM69" s="171" t="e">
        <f t="shared" si="102"/>
        <v>#DIV/0!</v>
      </c>
      <c r="AN69" s="171" t="e">
        <f t="shared" si="102"/>
        <v>#DIV/0!</v>
      </c>
      <c r="AO69" s="171" t="e">
        <f t="shared" si="102"/>
        <v>#DIV/0!</v>
      </c>
      <c r="AP69" s="171" t="e">
        <f t="shared" si="102"/>
        <v>#DIV/0!</v>
      </c>
      <c r="AQ69" s="171" t="e">
        <f t="shared" si="102"/>
        <v>#DIV/0!</v>
      </c>
      <c r="AR69" s="171" t="e">
        <f t="shared" si="102"/>
        <v>#DIV/0!</v>
      </c>
      <c r="AS69" s="171" t="e">
        <f t="shared" si="102"/>
        <v>#DIV/0!</v>
      </c>
      <c r="AT69" s="171" t="e">
        <f t="shared" si="102"/>
        <v>#DIV/0!</v>
      </c>
      <c r="AU69" s="171" t="e">
        <f t="shared" si="102"/>
        <v>#DIV/0!</v>
      </c>
      <c r="AV69" s="171" t="e">
        <f>(AF69-P69)/P69</f>
        <v>#DIV/0!</v>
      </c>
      <c r="AX69" s="84" t="s">
        <v>1007</v>
      </c>
      <c r="AY69" s="84" t="s">
        <v>370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32">
        <f t="shared" si="21"/>
        <v>0</v>
      </c>
    </row>
    <row r="70" spans="1:59" ht="16.5" customHeight="1" x14ac:dyDescent="0.25">
      <c r="A70" s="30">
        <v>102502067</v>
      </c>
      <c r="B70" s="31" t="s">
        <v>380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8"/>
      <c r="R70" s="66" t="s">
        <v>1008</v>
      </c>
      <c r="S70" s="149" t="s">
        <v>380</v>
      </c>
      <c r="T70" s="53">
        <f>+T71</f>
        <v>24115</v>
      </c>
      <c r="U70" s="53">
        <f>+U71</f>
        <v>145776</v>
      </c>
      <c r="V70" s="53">
        <f>+V71</f>
        <v>132534</v>
      </c>
      <c r="W70" s="161">
        <f t="shared" ref="W70:AE70" si="105">+W71</f>
        <v>0</v>
      </c>
      <c r="X70" s="161">
        <f t="shared" si="105"/>
        <v>0</v>
      </c>
      <c r="Y70" s="161">
        <f t="shared" si="105"/>
        <v>0</v>
      </c>
      <c r="Z70" s="161">
        <f t="shared" si="105"/>
        <v>0</v>
      </c>
      <c r="AA70" s="161">
        <f t="shared" si="105"/>
        <v>0</v>
      </c>
      <c r="AB70" s="161">
        <f t="shared" si="105"/>
        <v>0</v>
      </c>
      <c r="AC70" s="161">
        <f t="shared" si="105"/>
        <v>0</v>
      </c>
      <c r="AD70" s="161">
        <f t="shared" si="105"/>
        <v>0</v>
      </c>
      <c r="AE70" s="161">
        <f t="shared" si="105"/>
        <v>0</v>
      </c>
      <c r="AF70" s="161">
        <f t="shared" si="18"/>
        <v>302425</v>
      </c>
      <c r="AG70" s="168"/>
      <c r="AH70" s="66" t="s">
        <v>1008</v>
      </c>
      <c r="AI70" s="149" t="s">
        <v>380</v>
      </c>
      <c r="AJ70" s="170">
        <f t="shared" si="19"/>
        <v>-0.91961666666666664</v>
      </c>
      <c r="AK70" s="170">
        <f t="shared" si="3"/>
        <v>-0.51407999999999998</v>
      </c>
      <c r="AL70" s="170">
        <f t="shared" si="4"/>
        <v>-0.55822000000000005</v>
      </c>
      <c r="AM70" s="170">
        <f t="shared" si="5"/>
        <v>-1</v>
      </c>
      <c r="AN70" s="170">
        <f t="shared" si="6"/>
        <v>-1</v>
      </c>
      <c r="AO70" s="170">
        <f t="shared" si="7"/>
        <v>-1</v>
      </c>
      <c r="AP70" s="170">
        <f t="shared" si="8"/>
        <v>-1</v>
      </c>
      <c r="AQ70" s="170">
        <f t="shared" si="9"/>
        <v>-1</v>
      </c>
      <c r="AR70" s="170">
        <f t="shared" si="10"/>
        <v>-1</v>
      </c>
      <c r="AS70" s="170">
        <f t="shared" si="11"/>
        <v>-1</v>
      </c>
      <c r="AT70" s="170">
        <f t="shared" si="12"/>
        <v>-1</v>
      </c>
      <c r="AU70" s="170">
        <f t="shared" si="13"/>
        <v>-1</v>
      </c>
      <c r="AV70" s="170">
        <f t="shared" si="14"/>
        <v>-0.91599305555555555</v>
      </c>
      <c r="AX70" s="66" t="s">
        <v>1008</v>
      </c>
      <c r="AY70" s="66" t="s">
        <v>380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32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745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8"/>
      <c r="R71" s="84" t="s">
        <v>1009</v>
      </c>
      <c r="S71" s="154" t="s">
        <v>745</v>
      </c>
      <c r="T71" s="162">
        <v>24115</v>
      </c>
      <c r="U71" s="162">
        <v>145776</v>
      </c>
      <c r="V71" s="162">
        <v>132534</v>
      </c>
      <c r="W71" s="162"/>
      <c r="X71" s="162"/>
      <c r="Y71" s="162"/>
      <c r="Z71" s="162"/>
      <c r="AA71" s="162"/>
      <c r="AB71" s="162"/>
      <c r="AC71" s="162"/>
      <c r="AD71" s="162"/>
      <c r="AE71" s="162"/>
      <c r="AF71" s="162">
        <f t="shared" si="18"/>
        <v>302425</v>
      </c>
      <c r="AG71" s="168"/>
      <c r="AH71" s="84" t="s">
        <v>1009</v>
      </c>
      <c r="AI71" s="154" t="s">
        <v>745</v>
      </c>
      <c r="AJ71" s="171">
        <f t="shared" si="19"/>
        <v>-0.91961666666666664</v>
      </c>
      <c r="AK71" s="171">
        <f t="shared" si="3"/>
        <v>-0.51407999999999998</v>
      </c>
      <c r="AL71" s="171">
        <f t="shared" si="4"/>
        <v>-0.55822000000000005</v>
      </c>
      <c r="AM71" s="171">
        <f t="shared" si="5"/>
        <v>-1</v>
      </c>
      <c r="AN71" s="171">
        <f t="shared" si="6"/>
        <v>-1</v>
      </c>
      <c r="AO71" s="171">
        <f t="shared" si="7"/>
        <v>-1</v>
      </c>
      <c r="AP71" s="171">
        <f t="shared" si="8"/>
        <v>-1</v>
      </c>
      <c r="AQ71" s="171">
        <f t="shared" si="9"/>
        <v>-1</v>
      </c>
      <c r="AR71" s="171">
        <f t="shared" si="10"/>
        <v>-1</v>
      </c>
      <c r="AS71" s="171">
        <f t="shared" si="11"/>
        <v>-1</v>
      </c>
      <c r="AT71" s="171">
        <f t="shared" si="12"/>
        <v>-1</v>
      </c>
      <c r="AU71" s="171">
        <f t="shared" si="13"/>
        <v>-1</v>
      </c>
      <c r="AV71" s="171">
        <f t="shared" si="14"/>
        <v>-0.91599305555555555</v>
      </c>
      <c r="AX71" s="84" t="s">
        <v>1009</v>
      </c>
      <c r="AY71" s="84" t="s">
        <v>745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32">
        <f t="shared" si="107"/>
        <v>0</v>
      </c>
    </row>
    <row r="72" spans="1:59" ht="16.5" customHeight="1" x14ac:dyDescent="0.25">
      <c r="A72" s="30">
        <v>10250207</v>
      </c>
      <c r="B72" s="31" t="s">
        <v>392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9"/>
      <c r="R72" s="66" t="s">
        <v>1010</v>
      </c>
      <c r="S72" s="149" t="s">
        <v>1011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61">
        <f t="shared" ref="W72:AE72" si="110">+W73</f>
        <v>0</v>
      </c>
      <c r="X72" s="161">
        <f t="shared" si="110"/>
        <v>0</v>
      </c>
      <c r="Y72" s="161">
        <f t="shared" si="110"/>
        <v>0</v>
      </c>
      <c r="Z72" s="161">
        <f t="shared" si="110"/>
        <v>0</v>
      </c>
      <c r="AA72" s="161">
        <f t="shared" si="110"/>
        <v>0</v>
      </c>
      <c r="AB72" s="161">
        <f t="shared" si="110"/>
        <v>0</v>
      </c>
      <c r="AC72" s="161">
        <f t="shared" si="110"/>
        <v>0</v>
      </c>
      <c r="AD72" s="161">
        <f t="shared" si="110"/>
        <v>0</v>
      </c>
      <c r="AE72" s="161">
        <f t="shared" si="110"/>
        <v>0</v>
      </c>
      <c r="AF72" s="161">
        <f t="shared" si="18"/>
        <v>35811718</v>
      </c>
      <c r="AG72" s="169"/>
      <c r="AH72" s="66" t="s">
        <v>1010</v>
      </c>
      <c r="AI72" s="149" t="s">
        <v>1011</v>
      </c>
      <c r="AJ72" s="170" t="e">
        <f t="shared" si="19"/>
        <v>#DIV/0!</v>
      </c>
      <c r="AK72" s="170">
        <f t="shared" si="3"/>
        <v>-0.97021276595744677</v>
      </c>
      <c r="AL72" s="170" t="e">
        <f t="shared" si="4"/>
        <v>#DIV/0!</v>
      </c>
      <c r="AM72" s="170" t="e">
        <f t="shared" si="5"/>
        <v>#DIV/0!</v>
      </c>
      <c r="AN72" s="170">
        <f t="shared" si="6"/>
        <v>-1</v>
      </c>
      <c r="AO72" s="170" t="e">
        <f t="shared" si="7"/>
        <v>#DIV/0!</v>
      </c>
      <c r="AP72" s="170" t="e">
        <f t="shared" si="8"/>
        <v>#DIV/0!</v>
      </c>
      <c r="AQ72" s="170">
        <f t="shared" si="9"/>
        <v>-1</v>
      </c>
      <c r="AR72" s="170">
        <f t="shared" si="10"/>
        <v>-1</v>
      </c>
      <c r="AS72" s="170">
        <f t="shared" si="11"/>
        <v>-1</v>
      </c>
      <c r="AT72" s="170">
        <f t="shared" si="12"/>
        <v>-1</v>
      </c>
      <c r="AU72" s="170" t="e">
        <f t="shared" si="13"/>
        <v>#DIV/0!</v>
      </c>
      <c r="AV72" s="170">
        <f t="shared" si="14"/>
        <v>-0.41455770029857186</v>
      </c>
      <c r="AX72" s="66" t="s">
        <v>1010</v>
      </c>
      <c r="AY72" s="66" t="s">
        <v>1011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32">
        <f t="shared" si="107"/>
        <v>0</v>
      </c>
    </row>
    <row r="73" spans="1:59" ht="16.5" customHeight="1" x14ac:dyDescent="0.25">
      <c r="A73" s="35">
        <v>102502072</v>
      </c>
      <c r="B73" s="36" t="s">
        <v>411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8"/>
      <c r="R73" s="69" t="s">
        <v>1012</v>
      </c>
      <c r="S73" s="150" t="s">
        <v>411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61">
        <f t="shared" ref="W73:AE73" si="112">W74</f>
        <v>0</v>
      </c>
      <c r="X73" s="161">
        <f t="shared" si="112"/>
        <v>0</v>
      </c>
      <c r="Y73" s="161">
        <f t="shared" si="112"/>
        <v>0</v>
      </c>
      <c r="Z73" s="161">
        <f t="shared" si="112"/>
        <v>0</v>
      </c>
      <c r="AA73" s="161">
        <f t="shared" si="112"/>
        <v>0</v>
      </c>
      <c r="AB73" s="161">
        <f t="shared" si="112"/>
        <v>0</v>
      </c>
      <c r="AC73" s="161">
        <f t="shared" si="112"/>
        <v>0</v>
      </c>
      <c r="AD73" s="161">
        <f t="shared" si="112"/>
        <v>0</v>
      </c>
      <c r="AE73" s="161">
        <f t="shared" si="112"/>
        <v>0</v>
      </c>
      <c r="AF73" s="161">
        <f t="shared" si="18"/>
        <v>35811718</v>
      </c>
      <c r="AG73" s="168"/>
      <c r="AH73" s="69" t="s">
        <v>1012</v>
      </c>
      <c r="AI73" s="150" t="s">
        <v>411</v>
      </c>
      <c r="AJ73" s="170" t="e">
        <f t="shared" si="19"/>
        <v>#DIV/0!</v>
      </c>
      <c r="AK73" s="170">
        <f t="shared" si="3"/>
        <v>-0.97021276595744677</v>
      </c>
      <c r="AL73" s="170" t="e">
        <f t="shared" si="4"/>
        <v>#DIV/0!</v>
      </c>
      <c r="AM73" s="170" t="e">
        <f t="shared" si="5"/>
        <v>#DIV/0!</v>
      </c>
      <c r="AN73" s="170">
        <f t="shared" si="6"/>
        <v>-1</v>
      </c>
      <c r="AO73" s="170" t="e">
        <f t="shared" si="7"/>
        <v>#DIV/0!</v>
      </c>
      <c r="AP73" s="170" t="e">
        <f t="shared" si="8"/>
        <v>#DIV/0!</v>
      </c>
      <c r="AQ73" s="170">
        <f t="shared" si="9"/>
        <v>-1</v>
      </c>
      <c r="AR73" s="170">
        <f t="shared" si="10"/>
        <v>-1</v>
      </c>
      <c r="AS73" s="170">
        <f t="shared" si="11"/>
        <v>-1</v>
      </c>
      <c r="AT73" s="170">
        <f t="shared" si="12"/>
        <v>-1</v>
      </c>
      <c r="AU73" s="170" t="e">
        <f t="shared" si="13"/>
        <v>#DIV/0!</v>
      </c>
      <c r="AV73" s="170">
        <f t="shared" si="14"/>
        <v>-0.41455770029857186</v>
      </c>
      <c r="AX73" s="69" t="s">
        <v>1012</v>
      </c>
      <c r="AY73" s="69" t="s">
        <v>411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32">
        <f t="shared" si="107"/>
        <v>0</v>
      </c>
    </row>
    <row r="74" spans="1:59" ht="16.5" customHeight="1" x14ac:dyDescent="0.25">
      <c r="A74" s="37">
        <v>10250207201</v>
      </c>
      <c r="B74" s="38" t="s">
        <v>413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8"/>
      <c r="R74" s="84" t="s">
        <v>1013</v>
      </c>
      <c r="S74" s="154" t="s">
        <v>413</v>
      </c>
      <c r="T74" s="162">
        <v>3700000</v>
      </c>
      <c r="U74" s="162">
        <v>700000</v>
      </c>
      <c r="V74" s="162">
        <v>31411718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>
        <f t="shared" si="18"/>
        <v>35811718</v>
      </c>
      <c r="AG74" s="168"/>
      <c r="AH74" s="84" t="s">
        <v>1013</v>
      </c>
      <c r="AI74" s="154" t="s">
        <v>413</v>
      </c>
      <c r="AJ74" s="171" t="e">
        <f t="shared" si="19"/>
        <v>#DIV/0!</v>
      </c>
      <c r="AK74" s="171">
        <f t="shared" si="3"/>
        <v>-0.97021276595744677</v>
      </c>
      <c r="AL74" s="171" t="e">
        <f t="shared" si="4"/>
        <v>#DIV/0!</v>
      </c>
      <c r="AM74" s="171" t="e">
        <f t="shared" si="5"/>
        <v>#DIV/0!</v>
      </c>
      <c r="AN74" s="171">
        <f t="shared" si="6"/>
        <v>-1</v>
      </c>
      <c r="AO74" s="171" t="e">
        <f t="shared" si="7"/>
        <v>#DIV/0!</v>
      </c>
      <c r="AP74" s="171" t="e">
        <f t="shared" si="8"/>
        <v>#DIV/0!</v>
      </c>
      <c r="AQ74" s="171">
        <f t="shared" si="9"/>
        <v>-1</v>
      </c>
      <c r="AR74" s="171">
        <f t="shared" si="10"/>
        <v>-1</v>
      </c>
      <c r="AS74" s="171">
        <f t="shared" si="11"/>
        <v>-1</v>
      </c>
      <c r="AT74" s="171">
        <f t="shared" si="12"/>
        <v>-1</v>
      </c>
      <c r="AU74" s="171" t="e">
        <f t="shared" si="13"/>
        <v>#DIV/0!</v>
      </c>
      <c r="AV74" s="171">
        <f t="shared" si="14"/>
        <v>-0.41455770029857186</v>
      </c>
      <c r="AX74" s="84" t="s">
        <v>1013</v>
      </c>
      <c r="AY74" s="84" t="s">
        <v>413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32">
        <f t="shared" si="107"/>
        <v>0</v>
      </c>
    </row>
    <row r="75" spans="1:59" ht="16.5" customHeight="1" x14ac:dyDescent="0.25">
      <c r="A75" s="30">
        <v>1026</v>
      </c>
      <c r="B75" s="31" t="s">
        <v>499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9"/>
      <c r="R75" s="66" t="s">
        <v>1014</v>
      </c>
      <c r="S75" s="149" t="s">
        <v>499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61">
        <f t="shared" ref="W75:AE75" si="115">+W76+W80</f>
        <v>0</v>
      </c>
      <c r="X75" s="161">
        <f t="shared" si="115"/>
        <v>0</v>
      </c>
      <c r="Y75" s="161">
        <f t="shared" si="115"/>
        <v>0</v>
      </c>
      <c r="Z75" s="161">
        <f t="shared" si="115"/>
        <v>0</v>
      </c>
      <c r="AA75" s="161">
        <f t="shared" si="115"/>
        <v>0</v>
      </c>
      <c r="AB75" s="161">
        <f t="shared" si="115"/>
        <v>0</v>
      </c>
      <c r="AC75" s="161">
        <f t="shared" si="115"/>
        <v>0</v>
      </c>
      <c r="AD75" s="161">
        <f t="shared" si="115"/>
        <v>0</v>
      </c>
      <c r="AE75" s="161">
        <f t="shared" si="115"/>
        <v>0</v>
      </c>
      <c r="AF75" s="161">
        <f t="shared" si="18"/>
        <v>24800088690</v>
      </c>
      <c r="AG75" s="169"/>
      <c r="AH75" s="66" t="s">
        <v>1014</v>
      </c>
      <c r="AI75" s="149" t="s">
        <v>499</v>
      </c>
      <c r="AJ75" s="170">
        <f t="shared" si="19"/>
        <v>-4.8856174996674412E-2</v>
      </c>
      <c r="AK75" s="170">
        <f t="shared" si="3"/>
        <v>-4.9811147074327294E-2</v>
      </c>
      <c r="AL75" s="170">
        <f t="shared" si="4"/>
        <v>1.1370495133560239</v>
      </c>
      <c r="AM75" s="170">
        <f t="shared" si="5"/>
        <v>-1</v>
      </c>
      <c r="AN75" s="170">
        <f t="shared" si="6"/>
        <v>-1</v>
      </c>
      <c r="AO75" s="170">
        <f t="shared" si="7"/>
        <v>-1</v>
      </c>
      <c r="AP75" s="170">
        <f t="shared" si="8"/>
        <v>-1</v>
      </c>
      <c r="AQ75" s="170">
        <f t="shared" si="9"/>
        <v>-1</v>
      </c>
      <c r="AR75" s="170">
        <f t="shared" si="10"/>
        <v>-1</v>
      </c>
      <c r="AS75" s="170">
        <f t="shared" si="11"/>
        <v>-1</v>
      </c>
      <c r="AT75" s="170">
        <f t="shared" si="12"/>
        <v>-1</v>
      </c>
      <c r="AU75" s="170">
        <f t="shared" si="13"/>
        <v>-1</v>
      </c>
      <c r="AV75" s="170">
        <f t="shared" si="14"/>
        <v>-0.7341563868643306</v>
      </c>
      <c r="AX75" s="66" t="s">
        <v>1014</v>
      </c>
      <c r="AY75" s="66" t="s">
        <v>499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32">
        <f t="shared" si="107"/>
        <v>0</v>
      </c>
    </row>
    <row r="76" spans="1:59" ht="16.5" customHeight="1" x14ac:dyDescent="0.25">
      <c r="A76" s="30">
        <v>102604</v>
      </c>
      <c r="B76" s="31" t="s">
        <v>809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9"/>
      <c r="R76" s="66" t="s">
        <v>1015</v>
      </c>
      <c r="S76" s="149" t="s">
        <v>809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61">
        <f t="shared" ref="W76:AE76" si="119">+W77</f>
        <v>0</v>
      </c>
      <c r="X76" s="161">
        <f t="shared" si="119"/>
        <v>0</v>
      </c>
      <c r="Y76" s="161">
        <f t="shared" si="119"/>
        <v>0</v>
      </c>
      <c r="Z76" s="161">
        <f t="shared" si="119"/>
        <v>0</v>
      </c>
      <c r="AA76" s="161">
        <f t="shared" si="119"/>
        <v>0</v>
      </c>
      <c r="AB76" s="161">
        <f t="shared" si="119"/>
        <v>0</v>
      </c>
      <c r="AC76" s="161">
        <f t="shared" si="119"/>
        <v>0</v>
      </c>
      <c r="AD76" s="161">
        <f t="shared" si="119"/>
        <v>0</v>
      </c>
      <c r="AE76" s="161">
        <f t="shared" si="119"/>
        <v>0</v>
      </c>
      <c r="AF76" s="161">
        <f t="shared" si="18"/>
        <v>309296084</v>
      </c>
      <c r="AG76" s="169"/>
      <c r="AH76" s="66" t="s">
        <v>1015</v>
      </c>
      <c r="AI76" s="149" t="s">
        <v>809</v>
      </c>
      <c r="AJ76" s="170" t="e">
        <f t="shared" si="19"/>
        <v>#DIV/0!</v>
      </c>
      <c r="AK76" s="170">
        <f t="shared" si="3"/>
        <v>-7.7759166107879515E-2</v>
      </c>
      <c r="AL76" s="170" t="e">
        <f t="shared" si="4"/>
        <v>#DIV/0!</v>
      </c>
      <c r="AM76" s="170" t="e">
        <f t="shared" si="5"/>
        <v>#DIV/0!</v>
      </c>
      <c r="AN76" s="170">
        <f t="shared" si="6"/>
        <v>-1</v>
      </c>
      <c r="AO76" s="170" t="e">
        <f t="shared" si="7"/>
        <v>#DIV/0!</v>
      </c>
      <c r="AP76" s="170" t="e">
        <f t="shared" si="8"/>
        <v>#DIV/0!</v>
      </c>
      <c r="AQ76" s="170">
        <f t="shared" si="9"/>
        <v>-1</v>
      </c>
      <c r="AR76" s="170" t="e">
        <f t="shared" si="10"/>
        <v>#DIV/0!</v>
      </c>
      <c r="AS76" s="170" t="e">
        <f t="shared" si="11"/>
        <v>#DIV/0!</v>
      </c>
      <c r="AT76" s="170">
        <f t="shared" si="12"/>
        <v>-1</v>
      </c>
      <c r="AU76" s="170">
        <f t="shared" si="13"/>
        <v>-1</v>
      </c>
      <c r="AV76" s="170">
        <f t="shared" si="14"/>
        <v>-0.80578166642966165</v>
      </c>
      <c r="AX76" s="66" t="s">
        <v>1015</v>
      </c>
      <c r="AY76" s="66" t="s">
        <v>809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32">
        <f t="shared" si="107"/>
        <v>0</v>
      </c>
    </row>
    <row r="77" spans="1:59" ht="16.5" customHeight="1" x14ac:dyDescent="0.25">
      <c r="A77" s="35">
        <v>10260401</v>
      </c>
      <c r="B77" s="36" t="s">
        <v>809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9"/>
      <c r="R77" s="66" t="s">
        <v>1016</v>
      </c>
      <c r="S77" s="149" t="s">
        <v>809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61">
        <f t="shared" ref="W77:AE78" si="121">+W78</f>
        <v>0</v>
      </c>
      <c r="X77" s="161">
        <f t="shared" si="121"/>
        <v>0</v>
      </c>
      <c r="Y77" s="161">
        <f t="shared" si="121"/>
        <v>0</v>
      </c>
      <c r="Z77" s="161">
        <f t="shared" si="121"/>
        <v>0</v>
      </c>
      <c r="AA77" s="161">
        <f t="shared" si="121"/>
        <v>0</v>
      </c>
      <c r="AB77" s="161">
        <f t="shared" si="121"/>
        <v>0</v>
      </c>
      <c r="AC77" s="161">
        <f t="shared" si="121"/>
        <v>0</v>
      </c>
      <c r="AD77" s="161">
        <f t="shared" si="121"/>
        <v>0</v>
      </c>
      <c r="AE77" s="161">
        <f t="shared" si="121"/>
        <v>0</v>
      </c>
      <c r="AF77" s="161">
        <f t="shared" si="18"/>
        <v>309296084</v>
      </c>
      <c r="AG77" s="169"/>
      <c r="AH77" s="66" t="s">
        <v>1016</v>
      </c>
      <c r="AI77" s="149" t="s">
        <v>809</v>
      </c>
      <c r="AJ77" s="170" t="e">
        <f t="shared" si="19"/>
        <v>#DIV/0!</v>
      </c>
      <c r="AK77" s="170">
        <f t="shared" si="3"/>
        <v>-7.7759166107879515E-2</v>
      </c>
      <c r="AL77" s="170" t="e">
        <f t="shared" si="4"/>
        <v>#DIV/0!</v>
      </c>
      <c r="AM77" s="170" t="e">
        <f t="shared" si="5"/>
        <v>#DIV/0!</v>
      </c>
      <c r="AN77" s="170">
        <f t="shared" si="6"/>
        <v>-1</v>
      </c>
      <c r="AO77" s="170" t="e">
        <f t="shared" si="7"/>
        <v>#DIV/0!</v>
      </c>
      <c r="AP77" s="170" t="e">
        <f t="shared" si="8"/>
        <v>#DIV/0!</v>
      </c>
      <c r="AQ77" s="170">
        <f t="shared" si="9"/>
        <v>-1</v>
      </c>
      <c r="AR77" s="170" t="e">
        <f t="shared" si="10"/>
        <v>#DIV/0!</v>
      </c>
      <c r="AS77" s="170" t="e">
        <f t="shared" si="11"/>
        <v>#DIV/0!</v>
      </c>
      <c r="AT77" s="170">
        <f t="shared" si="12"/>
        <v>-1</v>
      </c>
      <c r="AU77" s="170">
        <f t="shared" si="13"/>
        <v>-1</v>
      </c>
      <c r="AV77" s="170">
        <f t="shared" si="14"/>
        <v>-0.80578166642966165</v>
      </c>
      <c r="AX77" s="66" t="s">
        <v>1016</v>
      </c>
      <c r="AY77" s="66" t="s">
        <v>809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32">
        <f t="shared" si="107"/>
        <v>0</v>
      </c>
    </row>
    <row r="78" spans="1:59" ht="16.5" customHeight="1" x14ac:dyDescent="0.25">
      <c r="A78" s="35">
        <v>102604011</v>
      </c>
      <c r="B78" s="36" t="s">
        <v>809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8"/>
      <c r="R78" s="69" t="s">
        <v>1017</v>
      </c>
      <c r="S78" s="150" t="s">
        <v>809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61">
        <f t="shared" si="121"/>
        <v>0</v>
      </c>
      <c r="X78" s="161">
        <f t="shared" si="121"/>
        <v>0</v>
      </c>
      <c r="Y78" s="161">
        <f t="shared" si="121"/>
        <v>0</v>
      </c>
      <c r="Z78" s="161">
        <f t="shared" si="121"/>
        <v>0</v>
      </c>
      <c r="AA78" s="161">
        <f t="shared" si="121"/>
        <v>0</v>
      </c>
      <c r="AB78" s="161">
        <f t="shared" si="121"/>
        <v>0</v>
      </c>
      <c r="AC78" s="161">
        <f t="shared" si="121"/>
        <v>0</v>
      </c>
      <c r="AD78" s="161">
        <f t="shared" si="121"/>
        <v>0</v>
      </c>
      <c r="AE78" s="161">
        <f t="shared" si="121"/>
        <v>0</v>
      </c>
      <c r="AF78" s="161">
        <f t="shared" si="18"/>
        <v>309296084</v>
      </c>
      <c r="AG78" s="168"/>
      <c r="AH78" s="69" t="s">
        <v>1017</v>
      </c>
      <c r="AI78" s="150" t="s">
        <v>809</v>
      </c>
      <c r="AJ78" s="170" t="e">
        <f t="shared" si="19"/>
        <v>#DIV/0!</v>
      </c>
      <c r="AK78" s="170">
        <f t="shared" si="3"/>
        <v>-7.7759166107879515E-2</v>
      </c>
      <c r="AL78" s="170" t="e">
        <f t="shared" si="4"/>
        <v>#DIV/0!</v>
      </c>
      <c r="AM78" s="170" t="e">
        <f t="shared" si="5"/>
        <v>#DIV/0!</v>
      </c>
      <c r="AN78" s="170">
        <f t="shared" si="6"/>
        <v>-1</v>
      </c>
      <c r="AO78" s="170" t="e">
        <f t="shared" si="7"/>
        <v>#DIV/0!</v>
      </c>
      <c r="AP78" s="170" t="e">
        <f t="shared" si="8"/>
        <v>#DIV/0!</v>
      </c>
      <c r="AQ78" s="170">
        <f t="shared" si="9"/>
        <v>-1</v>
      </c>
      <c r="AR78" s="170" t="e">
        <f t="shared" si="10"/>
        <v>#DIV/0!</v>
      </c>
      <c r="AS78" s="170" t="e">
        <f t="shared" si="11"/>
        <v>#DIV/0!</v>
      </c>
      <c r="AT78" s="170">
        <f t="shared" si="12"/>
        <v>-1</v>
      </c>
      <c r="AU78" s="170">
        <f t="shared" si="13"/>
        <v>-1</v>
      </c>
      <c r="AV78" s="170">
        <f t="shared" si="14"/>
        <v>-0.80578166642966165</v>
      </c>
      <c r="AX78" s="69" t="s">
        <v>1017</v>
      </c>
      <c r="AY78" s="69" t="s">
        <v>809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32">
        <f t="shared" si="107"/>
        <v>0</v>
      </c>
    </row>
    <row r="79" spans="1:59" ht="16.5" customHeight="1" x14ac:dyDescent="0.25">
      <c r="A79" s="37">
        <v>10260401101</v>
      </c>
      <c r="B79" s="38" t="s">
        <v>809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9"/>
      <c r="R79" s="84" t="s">
        <v>1018</v>
      </c>
      <c r="S79" s="154" t="s">
        <v>809</v>
      </c>
      <c r="T79" s="162"/>
      <c r="U79" s="162">
        <v>309296084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>
        <f t="shared" si="18"/>
        <v>309296084</v>
      </c>
      <c r="AG79" s="169"/>
      <c r="AH79" s="84" t="s">
        <v>1018</v>
      </c>
      <c r="AI79" s="154" t="s">
        <v>809</v>
      </c>
      <c r="AJ79" s="171" t="e">
        <f t="shared" si="19"/>
        <v>#DIV/0!</v>
      </c>
      <c r="AK79" s="171">
        <f t="shared" si="3"/>
        <v>-7.7759166107879515E-2</v>
      </c>
      <c r="AL79" s="171" t="e">
        <f t="shared" si="4"/>
        <v>#DIV/0!</v>
      </c>
      <c r="AM79" s="171" t="e">
        <f t="shared" si="5"/>
        <v>#DIV/0!</v>
      </c>
      <c r="AN79" s="171">
        <f t="shared" si="6"/>
        <v>-1</v>
      </c>
      <c r="AO79" s="171" t="e">
        <f t="shared" si="7"/>
        <v>#DIV/0!</v>
      </c>
      <c r="AP79" s="171" t="e">
        <f t="shared" si="8"/>
        <v>#DIV/0!</v>
      </c>
      <c r="AQ79" s="171">
        <f t="shared" si="9"/>
        <v>-1</v>
      </c>
      <c r="AR79" s="171" t="e">
        <f t="shared" si="10"/>
        <v>#DIV/0!</v>
      </c>
      <c r="AS79" s="171" t="e">
        <f t="shared" si="11"/>
        <v>#DIV/0!</v>
      </c>
      <c r="AT79" s="171">
        <f t="shared" si="12"/>
        <v>-1</v>
      </c>
      <c r="AU79" s="171">
        <f t="shared" si="13"/>
        <v>-1</v>
      </c>
      <c r="AV79" s="171">
        <f t="shared" si="14"/>
        <v>-0.80578166642966165</v>
      </c>
      <c r="AX79" s="84" t="s">
        <v>1018</v>
      </c>
      <c r="AY79" s="84" t="s">
        <v>809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32">
        <f t="shared" si="107"/>
        <v>0</v>
      </c>
    </row>
    <row r="80" spans="1:59" ht="16.5" customHeight="1" x14ac:dyDescent="0.25">
      <c r="A80" s="30">
        <v>102605</v>
      </c>
      <c r="B80" s="31" t="s">
        <v>810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9"/>
      <c r="R80" s="66" t="s">
        <v>1019</v>
      </c>
      <c r="S80" s="149" t="s">
        <v>810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61">
        <f t="shared" ref="W80:AE80" si="125">+W81</f>
        <v>0</v>
      </c>
      <c r="X80" s="161">
        <f t="shared" si="125"/>
        <v>0</v>
      </c>
      <c r="Y80" s="161">
        <f t="shared" si="125"/>
        <v>0</v>
      </c>
      <c r="Z80" s="161">
        <f t="shared" si="125"/>
        <v>0</v>
      </c>
      <c r="AA80" s="161">
        <f t="shared" si="125"/>
        <v>0</v>
      </c>
      <c r="AB80" s="161">
        <f t="shared" si="125"/>
        <v>0</v>
      </c>
      <c r="AC80" s="161">
        <f t="shared" si="125"/>
        <v>0</v>
      </c>
      <c r="AD80" s="161">
        <f t="shared" si="125"/>
        <v>0</v>
      </c>
      <c r="AE80" s="161">
        <f t="shared" si="125"/>
        <v>0</v>
      </c>
      <c r="AF80" s="161">
        <f t="shared" si="18"/>
        <v>24490792606</v>
      </c>
      <c r="AG80" s="169"/>
      <c r="AH80" s="66" t="s">
        <v>1019</v>
      </c>
      <c r="AI80" s="149" t="s">
        <v>810</v>
      </c>
      <c r="AJ80" s="170">
        <f t="shared" si="19"/>
        <v>-4.8856174996674412E-2</v>
      </c>
      <c r="AK80" s="170">
        <f t="shared" si="3"/>
        <v>-4.8856174996674412E-2</v>
      </c>
      <c r="AL80" s="170">
        <f t="shared" si="4"/>
        <v>1.1370495133560239</v>
      </c>
      <c r="AM80" s="170">
        <f t="shared" si="5"/>
        <v>-1</v>
      </c>
      <c r="AN80" s="170">
        <f t="shared" si="6"/>
        <v>-1</v>
      </c>
      <c r="AO80" s="170">
        <f t="shared" si="7"/>
        <v>-1</v>
      </c>
      <c r="AP80" s="170">
        <f t="shared" si="8"/>
        <v>-1</v>
      </c>
      <c r="AQ80" s="170">
        <f t="shared" si="9"/>
        <v>-1</v>
      </c>
      <c r="AR80" s="170">
        <f t="shared" si="10"/>
        <v>-1</v>
      </c>
      <c r="AS80" s="170">
        <f t="shared" si="11"/>
        <v>-1</v>
      </c>
      <c r="AT80" s="170">
        <f t="shared" si="12"/>
        <v>-1</v>
      </c>
      <c r="AU80" s="170">
        <f t="shared" si="13"/>
        <v>-1</v>
      </c>
      <c r="AV80" s="170">
        <f t="shared" si="14"/>
        <v>-0.73291244138608047</v>
      </c>
      <c r="AX80" s="66" t="s">
        <v>1019</v>
      </c>
      <c r="AY80" s="66" t="s">
        <v>810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32">
        <f t="shared" si="107"/>
        <v>0</v>
      </c>
    </row>
    <row r="81" spans="1:59" ht="16.5" customHeight="1" x14ac:dyDescent="0.25">
      <c r="A81" s="35">
        <v>10260501</v>
      </c>
      <c r="B81" s="36" t="s">
        <v>811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9"/>
      <c r="R81" s="66" t="s">
        <v>1020</v>
      </c>
      <c r="S81" s="149" t="s">
        <v>811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61">
        <f t="shared" ref="W81:AE81" si="127">+W82</f>
        <v>0</v>
      </c>
      <c r="X81" s="161">
        <f t="shared" si="127"/>
        <v>0</v>
      </c>
      <c r="Y81" s="161">
        <f t="shared" si="127"/>
        <v>0</v>
      </c>
      <c r="Z81" s="161">
        <f t="shared" si="127"/>
        <v>0</v>
      </c>
      <c r="AA81" s="161">
        <f t="shared" si="127"/>
        <v>0</v>
      </c>
      <c r="AB81" s="161">
        <f t="shared" si="127"/>
        <v>0</v>
      </c>
      <c r="AC81" s="161">
        <f t="shared" si="127"/>
        <v>0</v>
      </c>
      <c r="AD81" s="161">
        <f t="shared" si="127"/>
        <v>0</v>
      </c>
      <c r="AE81" s="161">
        <f t="shared" si="127"/>
        <v>0</v>
      </c>
      <c r="AF81" s="161">
        <f t="shared" si="18"/>
        <v>24490792606</v>
      </c>
      <c r="AG81" s="169"/>
      <c r="AH81" s="66" t="s">
        <v>1020</v>
      </c>
      <c r="AI81" s="149" t="s">
        <v>811</v>
      </c>
      <c r="AJ81" s="170">
        <f t="shared" si="19"/>
        <v>-4.8856174996674412E-2</v>
      </c>
      <c r="AK81" s="170">
        <f t="shared" si="3"/>
        <v>-4.8856174996674412E-2</v>
      </c>
      <c r="AL81" s="170">
        <f t="shared" si="4"/>
        <v>1.1370495133560239</v>
      </c>
      <c r="AM81" s="170">
        <f t="shared" si="5"/>
        <v>-1</v>
      </c>
      <c r="AN81" s="170">
        <f t="shared" si="6"/>
        <v>-1</v>
      </c>
      <c r="AO81" s="170">
        <f t="shared" si="7"/>
        <v>-1</v>
      </c>
      <c r="AP81" s="170">
        <f t="shared" si="8"/>
        <v>-1</v>
      </c>
      <c r="AQ81" s="170">
        <f t="shared" si="9"/>
        <v>-1</v>
      </c>
      <c r="AR81" s="170">
        <f t="shared" si="10"/>
        <v>-1</v>
      </c>
      <c r="AS81" s="170">
        <f t="shared" si="11"/>
        <v>-1</v>
      </c>
      <c r="AT81" s="170">
        <f t="shared" si="12"/>
        <v>-1</v>
      </c>
      <c r="AU81" s="170">
        <f t="shared" si="13"/>
        <v>-1</v>
      </c>
      <c r="AV81" s="170">
        <f t="shared" si="14"/>
        <v>-0.73291244138608047</v>
      </c>
      <c r="AX81" s="66" t="s">
        <v>1020</v>
      </c>
      <c r="AY81" s="66" t="s">
        <v>811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32">
        <f t="shared" si="107"/>
        <v>0</v>
      </c>
    </row>
    <row r="82" spans="1:59" ht="16.5" customHeight="1" x14ac:dyDescent="0.25">
      <c r="A82" s="35">
        <v>102605011</v>
      </c>
      <c r="B82" s="36" t="s">
        <v>811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8"/>
      <c r="R82" s="69" t="s">
        <v>1021</v>
      </c>
      <c r="S82" s="150" t="s">
        <v>811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61">
        <f t="shared" ref="W82:AE82" si="129">SUM(W83:W86)</f>
        <v>0</v>
      </c>
      <c r="X82" s="161">
        <f t="shared" si="129"/>
        <v>0</v>
      </c>
      <c r="Y82" s="161">
        <f t="shared" si="129"/>
        <v>0</v>
      </c>
      <c r="Z82" s="161">
        <f t="shared" si="129"/>
        <v>0</v>
      </c>
      <c r="AA82" s="161">
        <f t="shared" si="129"/>
        <v>0</v>
      </c>
      <c r="AB82" s="161">
        <f t="shared" si="129"/>
        <v>0</v>
      </c>
      <c r="AC82" s="161">
        <f t="shared" si="129"/>
        <v>0</v>
      </c>
      <c r="AD82" s="161">
        <f t="shared" si="129"/>
        <v>0</v>
      </c>
      <c r="AE82" s="161">
        <f t="shared" si="129"/>
        <v>0</v>
      </c>
      <c r="AF82" s="161">
        <f t="shared" si="18"/>
        <v>24490792606</v>
      </c>
      <c r="AG82" s="168"/>
      <c r="AH82" s="69" t="s">
        <v>1021</v>
      </c>
      <c r="AI82" s="150" t="s">
        <v>811</v>
      </c>
      <c r="AJ82" s="170">
        <f t="shared" si="19"/>
        <v>-4.8856174996674412E-2</v>
      </c>
      <c r="AK82" s="170">
        <f t="shared" ref="AK82:AK146" si="130">(U82-D82)/D82</f>
        <v>-4.8856174996674412E-2</v>
      </c>
      <c r="AL82" s="170">
        <f t="shared" ref="AL82:AL146" si="131">(V82-E82)/E82</f>
        <v>1.1370495133560239</v>
      </c>
      <c r="AM82" s="170">
        <f t="shared" ref="AM82:AM146" si="132">(W82-F82)/F82</f>
        <v>-1</v>
      </c>
      <c r="AN82" s="170">
        <f t="shared" ref="AN82:AN146" si="133">(X82-G82)/G82</f>
        <v>-1</v>
      </c>
      <c r="AO82" s="170">
        <f t="shared" ref="AO82:AO146" si="134">(Y82-H82)/H82</f>
        <v>-1</v>
      </c>
      <c r="AP82" s="170">
        <f t="shared" ref="AP82:AP146" si="135">(Z82-I82)/I82</f>
        <v>-1</v>
      </c>
      <c r="AQ82" s="170">
        <f t="shared" ref="AQ82:AQ146" si="136">(AA82-J82)/J82</f>
        <v>-1</v>
      </c>
      <c r="AR82" s="170">
        <f t="shared" ref="AR82:AR146" si="137">(AB82-K82)/K82</f>
        <v>-1</v>
      </c>
      <c r="AS82" s="170">
        <f t="shared" ref="AS82:AS146" si="138">(AC82-L82)/L82</f>
        <v>-1</v>
      </c>
      <c r="AT82" s="170">
        <f t="shared" ref="AT82:AT146" si="139">(AD82-M82)/M82</f>
        <v>-1</v>
      </c>
      <c r="AU82" s="170">
        <f t="shared" ref="AU82:AU146" si="140">(AE82-N82)/N82</f>
        <v>-1</v>
      </c>
      <c r="AV82" s="170">
        <f t="shared" ref="AV82:AV146" si="141">(AF82-P82)/P82</f>
        <v>-0.73291244138608047</v>
      </c>
      <c r="AX82" s="69" t="s">
        <v>1021</v>
      </c>
      <c r="AY82" s="69" t="s">
        <v>811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32">
        <f t="shared" si="107"/>
        <v>0</v>
      </c>
    </row>
    <row r="83" spans="1:59" ht="16.5" customHeight="1" x14ac:dyDescent="0.25">
      <c r="A83" s="37">
        <v>10260501101</v>
      </c>
      <c r="B83" s="38" t="s">
        <v>812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9"/>
      <c r="R83" s="82" t="s">
        <v>1022</v>
      </c>
      <c r="S83" s="154" t="s">
        <v>812</v>
      </c>
      <c r="T83" s="162">
        <v>4667739685</v>
      </c>
      <c r="U83" s="162">
        <v>9335479370</v>
      </c>
      <c r="V83" s="162">
        <v>8591424165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>
        <f t="shared" ref="AF83:AF146" si="143">SUM(T83:AE83)</f>
        <v>22594643220</v>
      </c>
      <c r="AG83" s="169"/>
      <c r="AH83" s="82" t="s">
        <v>1022</v>
      </c>
      <c r="AI83" s="154" t="s">
        <v>812</v>
      </c>
      <c r="AJ83" s="171">
        <f t="shared" ref="AJ83:AJ146" si="144">(T83-C83)/C83</f>
        <v>-4.8856174996674412E-2</v>
      </c>
      <c r="AK83" s="171">
        <f t="shared" si="130"/>
        <v>-4.8856174996674412E-2</v>
      </c>
      <c r="AL83" s="171">
        <f t="shared" si="131"/>
        <v>0.75067175849248391</v>
      </c>
      <c r="AM83" s="171">
        <f t="shared" si="132"/>
        <v>-1</v>
      </c>
      <c r="AN83" s="171">
        <f t="shared" si="133"/>
        <v>-1</v>
      </c>
      <c r="AO83" s="171">
        <f t="shared" si="134"/>
        <v>-1</v>
      </c>
      <c r="AP83" s="171">
        <f t="shared" si="135"/>
        <v>-1</v>
      </c>
      <c r="AQ83" s="171">
        <f t="shared" si="136"/>
        <v>-1</v>
      </c>
      <c r="AR83" s="171">
        <f t="shared" si="137"/>
        <v>-1</v>
      </c>
      <c r="AS83" s="171">
        <f t="shared" si="138"/>
        <v>-1</v>
      </c>
      <c r="AT83" s="171">
        <f t="shared" si="139"/>
        <v>-1</v>
      </c>
      <c r="AU83" s="171">
        <f t="shared" si="140"/>
        <v>-1</v>
      </c>
      <c r="AV83" s="171">
        <f t="shared" si="141"/>
        <v>-0.72677642439412671</v>
      </c>
      <c r="AX83" s="82" t="s">
        <v>1022</v>
      </c>
      <c r="AY83" s="84" t="s">
        <v>812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32">
        <f t="shared" si="107"/>
        <v>0</v>
      </c>
    </row>
    <row r="84" spans="1:59" ht="16.5" customHeight="1" x14ac:dyDescent="0.25">
      <c r="A84" s="37">
        <v>10260501103</v>
      </c>
      <c r="B84" s="38" t="s">
        <v>813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9"/>
      <c r="R84" s="84" t="s">
        <v>1023</v>
      </c>
      <c r="S84" s="154" t="s">
        <v>813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>
        <f t="shared" si="143"/>
        <v>0</v>
      </c>
      <c r="AG84" s="169"/>
      <c r="AH84" s="84" t="s">
        <v>1023</v>
      </c>
      <c r="AI84" s="154" t="s">
        <v>813</v>
      </c>
      <c r="AJ84" s="171" t="e">
        <f t="shared" si="144"/>
        <v>#DIV/0!</v>
      </c>
      <c r="AK84" s="171" t="e">
        <f t="shared" si="130"/>
        <v>#DIV/0!</v>
      </c>
      <c r="AL84" s="171" t="e">
        <f t="shared" si="131"/>
        <v>#DIV/0!</v>
      </c>
      <c r="AM84" s="171">
        <f t="shared" si="132"/>
        <v>-1</v>
      </c>
      <c r="AN84" s="171" t="e">
        <f t="shared" si="133"/>
        <v>#DIV/0!</v>
      </c>
      <c r="AO84" s="171" t="e">
        <f t="shared" si="134"/>
        <v>#DIV/0!</v>
      </c>
      <c r="AP84" s="171" t="e">
        <f t="shared" si="135"/>
        <v>#DIV/0!</v>
      </c>
      <c r="AQ84" s="171" t="e">
        <f t="shared" si="136"/>
        <v>#DIV/0!</v>
      </c>
      <c r="AR84" s="171" t="e">
        <f t="shared" si="137"/>
        <v>#DIV/0!</v>
      </c>
      <c r="AS84" s="171" t="e">
        <f t="shared" si="138"/>
        <v>#DIV/0!</v>
      </c>
      <c r="AT84" s="171" t="e">
        <f t="shared" si="139"/>
        <v>#DIV/0!</v>
      </c>
      <c r="AU84" s="171" t="e">
        <f t="shared" si="140"/>
        <v>#DIV/0!</v>
      </c>
      <c r="AV84" s="171">
        <f t="shared" si="141"/>
        <v>-1</v>
      </c>
      <c r="AX84" s="84" t="s">
        <v>1023</v>
      </c>
      <c r="AY84" s="84" t="s">
        <v>813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32">
        <f t="shared" si="107"/>
        <v>0</v>
      </c>
    </row>
    <row r="85" spans="1:59" ht="16.5" customHeight="1" x14ac:dyDescent="0.25">
      <c r="A85" s="37">
        <v>10260501104</v>
      </c>
      <c r="B85" s="38" t="s">
        <v>814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9"/>
      <c r="R85" s="84" t="s">
        <v>1024</v>
      </c>
      <c r="S85" s="154" t="s">
        <v>814</v>
      </c>
      <c r="T85" s="162"/>
      <c r="U85" s="162"/>
      <c r="V85" s="162">
        <v>1896149386</v>
      </c>
      <c r="W85" s="162"/>
      <c r="X85" s="162"/>
      <c r="Y85" s="162"/>
      <c r="Z85" s="162"/>
      <c r="AA85" s="162"/>
      <c r="AB85" s="162"/>
      <c r="AC85" s="162"/>
      <c r="AD85" s="162"/>
      <c r="AE85" s="162"/>
      <c r="AF85" s="162">
        <f t="shared" si="143"/>
        <v>1896149386</v>
      </c>
      <c r="AG85" s="169"/>
      <c r="AH85" s="84" t="s">
        <v>1024</v>
      </c>
      <c r="AI85" s="154" t="s">
        <v>814</v>
      </c>
      <c r="AJ85" s="171" t="e">
        <f t="shared" si="144"/>
        <v>#DIV/0!</v>
      </c>
      <c r="AK85" s="171" t="e">
        <f t="shared" si="130"/>
        <v>#DIV/0!</v>
      </c>
      <c r="AL85" s="171" t="e">
        <f t="shared" si="131"/>
        <v>#DIV/0!</v>
      </c>
      <c r="AM85" s="171">
        <f t="shared" si="132"/>
        <v>-1</v>
      </c>
      <c r="AN85" s="171" t="e">
        <f t="shared" si="133"/>
        <v>#DIV/0!</v>
      </c>
      <c r="AO85" s="171" t="e">
        <f t="shared" si="134"/>
        <v>#DIV/0!</v>
      </c>
      <c r="AP85" s="171" t="e">
        <f t="shared" si="135"/>
        <v>#DIV/0!</v>
      </c>
      <c r="AQ85" s="171" t="e">
        <f t="shared" si="136"/>
        <v>#DIV/0!</v>
      </c>
      <c r="AR85" s="171" t="e">
        <f t="shared" si="137"/>
        <v>#DIV/0!</v>
      </c>
      <c r="AS85" s="171" t="e">
        <f t="shared" si="138"/>
        <v>#DIV/0!</v>
      </c>
      <c r="AT85" s="171" t="e">
        <f t="shared" si="139"/>
        <v>#DIV/0!</v>
      </c>
      <c r="AU85" s="171" t="e">
        <f t="shared" si="140"/>
        <v>#DIV/0!</v>
      </c>
      <c r="AV85" s="171">
        <f t="shared" si="141"/>
        <v>2.4249360834555338</v>
      </c>
      <c r="AX85" s="84" t="s">
        <v>1024</v>
      </c>
      <c r="AY85" s="84" t="s">
        <v>814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32">
        <f t="shared" si="107"/>
        <v>0</v>
      </c>
    </row>
    <row r="86" spans="1:59" ht="16.5" customHeight="1" x14ac:dyDescent="0.25">
      <c r="A86" s="37">
        <v>10260501106</v>
      </c>
      <c r="B86" s="38" t="s">
        <v>815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8"/>
      <c r="R86" s="84" t="s">
        <v>1025</v>
      </c>
      <c r="S86" s="154" t="s">
        <v>815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>
        <f t="shared" si="143"/>
        <v>0</v>
      </c>
      <c r="AG86" s="168"/>
      <c r="AH86" s="84" t="s">
        <v>1025</v>
      </c>
      <c r="AI86" s="154" t="s">
        <v>815</v>
      </c>
      <c r="AJ86" s="171" t="e">
        <f t="shared" si="144"/>
        <v>#DIV/0!</v>
      </c>
      <c r="AK86" s="171" t="e">
        <f t="shared" si="130"/>
        <v>#DIV/0!</v>
      </c>
      <c r="AL86" s="171" t="e">
        <f t="shared" si="131"/>
        <v>#DIV/0!</v>
      </c>
      <c r="AM86" s="171" t="e">
        <f t="shared" si="132"/>
        <v>#DIV/0!</v>
      </c>
      <c r="AN86" s="171" t="e">
        <f t="shared" si="133"/>
        <v>#DIV/0!</v>
      </c>
      <c r="AO86" s="171" t="e">
        <f t="shared" si="134"/>
        <v>#DIV/0!</v>
      </c>
      <c r="AP86" s="171" t="e">
        <f t="shared" si="135"/>
        <v>#DIV/0!</v>
      </c>
      <c r="AQ86" s="171" t="e">
        <f t="shared" si="136"/>
        <v>#DIV/0!</v>
      </c>
      <c r="AR86" s="171">
        <f t="shared" si="137"/>
        <v>-1</v>
      </c>
      <c r="AS86" s="171" t="e">
        <f t="shared" si="138"/>
        <v>#DIV/0!</v>
      </c>
      <c r="AT86" s="171" t="e">
        <f t="shared" si="139"/>
        <v>#DIV/0!</v>
      </c>
      <c r="AU86" s="171" t="e">
        <f t="shared" si="140"/>
        <v>#DIV/0!</v>
      </c>
      <c r="AV86" s="171">
        <f t="shared" si="141"/>
        <v>-1</v>
      </c>
      <c r="AX86" s="84" t="s">
        <v>1025</v>
      </c>
      <c r="AY86" s="84" t="s">
        <v>815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32">
        <f t="shared" si="107"/>
        <v>0</v>
      </c>
    </row>
    <row r="87" spans="1:59" ht="16.5" customHeight="1" x14ac:dyDescent="0.25">
      <c r="A87" s="30">
        <v>2</v>
      </c>
      <c r="B87" s="31" t="s">
        <v>816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8"/>
      <c r="R87" s="66" t="s">
        <v>1026</v>
      </c>
      <c r="S87" s="149" t="s">
        <v>816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61">
        <f t="shared" ref="W87:AE87" si="146">+W88+W129+W134+W119</f>
        <v>0</v>
      </c>
      <c r="X87" s="161">
        <f t="shared" si="146"/>
        <v>0</v>
      </c>
      <c r="Y87" s="161">
        <f t="shared" si="146"/>
        <v>0</v>
      </c>
      <c r="Z87" s="161">
        <f t="shared" si="146"/>
        <v>0</v>
      </c>
      <c r="AA87" s="161">
        <f t="shared" si="146"/>
        <v>0</v>
      </c>
      <c r="AB87" s="161">
        <f t="shared" si="146"/>
        <v>0</v>
      </c>
      <c r="AC87" s="161">
        <f t="shared" si="146"/>
        <v>0</v>
      </c>
      <c r="AD87" s="161">
        <f t="shared" si="146"/>
        <v>0</v>
      </c>
      <c r="AE87" s="161">
        <f t="shared" si="146"/>
        <v>0</v>
      </c>
      <c r="AF87" s="161">
        <f t="shared" si="143"/>
        <v>3933483846.48</v>
      </c>
      <c r="AG87" s="168"/>
      <c r="AH87" s="66" t="s">
        <v>1026</v>
      </c>
      <c r="AI87" s="149" t="s">
        <v>816</v>
      </c>
      <c r="AJ87" s="170">
        <f t="shared" si="144"/>
        <v>16.148581233509162</v>
      </c>
      <c r="AK87" s="170">
        <f t="shared" si="130"/>
        <v>2.0090579164646241</v>
      </c>
      <c r="AL87" s="170">
        <f t="shared" si="131"/>
        <v>7.6541493202871953</v>
      </c>
      <c r="AM87" s="170">
        <f t="shared" si="132"/>
        <v>-1</v>
      </c>
      <c r="AN87" s="170">
        <f t="shared" si="133"/>
        <v>-1</v>
      </c>
      <c r="AO87" s="170">
        <f t="shared" si="134"/>
        <v>-1</v>
      </c>
      <c r="AP87" s="170">
        <f t="shared" si="135"/>
        <v>-1</v>
      </c>
      <c r="AQ87" s="170">
        <f t="shared" si="136"/>
        <v>-1</v>
      </c>
      <c r="AR87" s="170">
        <f t="shared" si="137"/>
        <v>-1</v>
      </c>
      <c r="AS87" s="170">
        <f t="shared" si="138"/>
        <v>-1</v>
      </c>
      <c r="AT87" s="170">
        <f t="shared" si="139"/>
        <v>-1</v>
      </c>
      <c r="AU87" s="170">
        <f t="shared" si="140"/>
        <v>-1</v>
      </c>
      <c r="AV87" s="170">
        <f t="shared" si="141"/>
        <v>8.45640832280578</v>
      </c>
      <c r="AX87" s="66" t="s">
        <v>1026</v>
      </c>
      <c r="AY87" s="66" t="s">
        <v>816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32">
        <f t="shared" si="107"/>
        <v>14283806283.990002</v>
      </c>
    </row>
    <row r="88" spans="1:59" ht="16.5" customHeight="1" x14ac:dyDescent="0.25">
      <c r="A88" s="30">
        <v>205</v>
      </c>
      <c r="B88" s="31" t="s">
        <v>817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8"/>
      <c r="R88" s="66" t="s">
        <v>1027</v>
      </c>
      <c r="S88" s="149" t="s">
        <v>817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61">
        <f t="shared" ref="W88:AE91" si="150">+W89</f>
        <v>0</v>
      </c>
      <c r="X88" s="161">
        <f t="shared" si="150"/>
        <v>0</v>
      </c>
      <c r="Y88" s="161">
        <f t="shared" si="150"/>
        <v>0</v>
      </c>
      <c r="Z88" s="161">
        <f t="shared" si="150"/>
        <v>0</v>
      </c>
      <c r="AA88" s="161">
        <f t="shared" si="150"/>
        <v>0</v>
      </c>
      <c r="AB88" s="161">
        <f t="shared" si="150"/>
        <v>0</v>
      </c>
      <c r="AC88" s="161">
        <f t="shared" si="150"/>
        <v>0</v>
      </c>
      <c r="AD88" s="161">
        <f t="shared" si="150"/>
        <v>0</v>
      </c>
      <c r="AE88" s="161">
        <f t="shared" si="150"/>
        <v>0</v>
      </c>
      <c r="AF88" s="161">
        <f t="shared" si="143"/>
        <v>101155068.47999999</v>
      </c>
      <c r="AG88" s="168"/>
      <c r="AH88" s="66" t="s">
        <v>1027</v>
      </c>
      <c r="AI88" s="149" t="s">
        <v>817</v>
      </c>
      <c r="AJ88" s="170">
        <f t="shared" si="144"/>
        <v>1.4681830647439142</v>
      </c>
      <c r="AK88" s="170">
        <f t="shared" si="130"/>
        <v>0.50463038098453106</v>
      </c>
      <c r="AL88" s="170">
        <f t="shared" si="131"/>
        <v>0.62205678863502611</v>
      </c>
      <c r="AM88" s="170">
        <f t="shared" si="132"/>
        <v>-1</v>
      </c>
      <c r="AN88" s="170">
        <f t="shared" si="133"/>
        <v>-1</v>
      </c>
      <c r="AO88" s="170">
        <f t="shared" si="134"/>
        <v>-1</v>
      </c>
      <c r="AP88" s="170">
        <f t="shared" si="135"/>
        <v>-1</v>
      </c>
      <c r="AQ88" s="170">
        <f t="shared" si="136"/>
        <v>-1</v>
      </c>
      <c r="AR88" s="170">
        <f t="shared" si="137"/>
        <v>-1</v>
      </c>
      <c r="AS88" s="170">
        <f t="shared" si="138"/>
        <v>-1</v>
      </c>
      <c r="AT88" s="170">
        <f t="shared" si="139"/>
        <v>-1</v>
      </c>
      <c r="AU88" s="170">
        <f t="shared" si="140"/>
        <v>-1</v>
      </c>
      <c r="AV88" s="170">
        <f t="shared" si="141"/>
        <v>-0.53376081380304419</v>
      </c>
      <c r="AX88" s="66" t="s">
        <v>1027</v>
      </c>
      <c r="AY88" s="66" t="s">
        <v>817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32">
        <f t="shared" si="107"/>
        <v>-19324558.999999985</v>
      </c>
    </row>
    <row r="89" spans="1:59" ht="16.5" customHeight="1" x14ac:dyDescent="0.25">
      <c r="A89" s="35">
        <v>2051</v>
      </c>
      <c r="B89" s="36" t="s">
        <v>818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8"/>
      <c r="R89" s="66" t="s">
        <v>1028</v>
      </c>
      <c r="S89" s="149" t="s">
        <v>818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61">
        <f t="shared" ref="W89:AE89" si="152">+W90</f>
        <v>0</v>
      </c>
      <c r="X89" s="161">
        <f t="shared" si="152"/>
        <v>0</v>
      </c>
      <c r="Y89" s="161">
        <f t="shared" si="152"/>
        <v>0</v>
      </c>
      <c r="Z89" s="161">
        <f t="shared" si="152"/>
        <v>0</v>
      </c>
      <c r="AA89" s="161">
        <f t="shared" si="152"/>
        <v>0</v>
      </c>
      <c r="AB89" s="161">
        <f t="shared" si="152"/>
        <v>0</v>
      </c>
      <c r="AC89" s="161">
        <f t="shared" si="152"/>
        <v>0</v>
      </c>
      <c r="AD89" s="161">
        <f t="shared" si="152"/>
        <v>0</v>
      </c>
      <c r="AE89" s="161">
        <f t="shared" si="152"/>
        <v>0</v>
      </c>
      <c r="AF89" s="161">
        <f t="shared" si="143"/>
        <v>101155068.47999999</v>
      </c>
      <c r="AG89" s="168"/>
      <c r="AH89" s="66" t="s">
        <v>1028</v>
      </c>
      <c r="AI89" s="149" t="s">
        <v>818</v>
      </c>
      <c r="AJ89" s="170">
        <f t="shared" si="144"/>
        <v>1.4681830647439142</v>
      </c>
      <c r="AK89" s="170">
        <f t="shared" si="130"/>
        <v>0.50463038098453106</v>
      </c>
      <c r="AL89" s="170">
        <f t="shared" si="131"/>
        <v>0.62205678863502611</v>
      </c>
      <c r="AM89" s="170">
        <f t="shared" si="132"/>
        <v>-1</v>
      </c>
      <c r="AN89" s="170">
        <f t="shared" si="133"/>
        <v>-1</v>
      </c>
      <c r="AO89" s="170">
        <f t="shared" si="134"/>
        <v>-1</v>
      </c>
      <c r="AP89" s="170">
        <f t="shared" si="135"/>
        <v>-1</v>
      </c>
      <c r="AQ89" s="170">
        <f t="shared" si="136"/>
        <v>-1</v>
      </c>
      <c r="AR89" s="170">
        <f t="shared" si="137"/>
        <v>-1</v>
      </c>
      <c r="AS89" s="170">
        <f t="shared" si="138"/>
        <v>-1</v>
      </c>
      <c r="AT89" s="170">
        <f t="shared" si="139"/>
        <v>-1</v>
      </c>
      <c r="AU89" s="170">
        <f t="shared" si="140"/>
        <v>-1</v>
      </c>
      <c r="AV89" s="170">
        <f t="shared" si="141"/>
        <v>-0.53376081380304419</v>
      </c>
      <c r="AX89" s="66" t="s">
        <v>1028</v>
      </c>
      <c r="AY89" s="66" t="s">
        <v>818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32">
        <f t="shared" si="107"/>
        <v>-19324558.999999985</v>
      </c>
    </row>
    <row r="90" spans="1:59" ht="16.5" customHeight="1" x14ac:dyDescent="0.25">
      <c r="A90" s="30">
        <v>205102</v>
      </c>
      <c r="B90" s="31" t="s">
        <v>819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8"/>
      <c r="R90" s="66" t="s">
        <v>1029</v>
      </c>
      <c r="S90" s="149" t="s">
        <v>819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61">
        <f t="shared" si="150"/>
        <v>0</v>
      </c>
      <c r="X90" s="161">
        <f t="shared" si="150"/>
        <v>0</v>
      </c>
      <c r="Y90" s="161">
        <f t="shared" si="150"/>
        <v>0</v>
      </c>
      <c r="Z90" s="161">
        <f t="shared" si="150"/>
        <v>0</v>
      </c>
      <c r="AA90" s="161">
        <f t="shared" si="150"/>
        <v>0</v>
      </c>
      <c r="AB90" s="161">
        <f t="shared" si="150"/>
        <v>0</v>
      </c>
      <c r="AC90" s="161">
        <f t="shared" si="150"/>
        <v>0</v>
      </c>
      <c r="AD90" s="161">
        <f t="shared" si="150"/>
        <v>0</v>
      </c>
      <c r="AE90" s="161">
        <f t="shared" si="150"/>
        <v>0</v>
      </c>
      <c r="AF90" s="161">
        <f t="shared" si="143"/>
        <v>101155068.47999999</v>
      </c>
      <c r="AG90" s="168"/>
      <c r="AH90" s="66" t="s">
        <v>1029</v>
      </c>
      <c r="AI90" s="149" t="s">
        <v>819</v>
      </c>
      <c r="AJ90" s="170">
        <f t="shared" si="144"/>
        <v>1.4681830647439142</v>
      </c>
      <c r="AK90" s="170">
        <f t="shared" si="130"/>
        <v>0.50463038098453106</v>
      </c>
      <c r="AL90" s="170">
        <f t="shared" si="131"/>
        <v>0.62205678863502611</v>
      </c>
      <c r="AM90" s="170">
        <f t="shared" si="132"/>
        <v>-1</v>
      </c>
      <c r="AN90" s="170">
        <f t="shared" si="133"/>
        <v>-1</v>
      </c>
      <c r="AO90" s="170">
        <f t="shared" si="134"/>
        <v>-1</v>
      </c>
      <c r="AP90" s="170">
        <f t="shared" si="135"/>
        <v>-1</v>
      </c>
      <c r="AQ90" s="170">
        <f t="shared" si="136"/>
        <v>-1</v>
      </c>
      <c r="AR90" s="170">
        <f t="shared" si="137"/>
        <v>-1</v>
      </c>
      <c r="AS90" s="170">
        <f t="shared" si="138"/>
        <v>-1</v>
      </c>
      <c r="AT90" s="170">
        <f t="shared" si="139"/>
        <v>-1</v>
      </c>
      <c r="AU90" s="170">
        <f t="shared" si="140"/>
        <v>-1</v>
      </c>
      <c r="AV90" s="170">
        <f t="shared" si="141"/>
        <v>-0.53376081380304419</v>
      </c>
      <c r="AX90" s="66" t="s">
        <v>1029</v>
      </c>
      <c r="AY90" s="66" t="s">
        <v>819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32">
        <f t="shared" si="107"/>
        <v>-19324558.999999985</v>
      </c>
    </row>
    <row r="91" spans="1:59" ht="16.5" customHeight="1" x14ac:dyDescent="0.25">
      <c r="A91" s="35">
        <v>20510201</v>
      </c>
      <c r="B91" s="36" t="s">
        <v>819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9"/>
      <c r="R91" s="66" t="s">
        <v>1030</v>
      </c>
      <c r="S91" s="149" t="s">
        <v>819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61">
        <f t="shared" si="150"/>
        <v>0</v>
      </c>
      <c r="X91" s="161">
        <f t="shared" si="150"/>
        <v>0</v>
      </c>
      <c r="Y91" s="161">
        <f t="shared" si="150"/>
        <v>0</v>
      </c>
      <c r="Z91" s="161">
        <f t="shared" si="150"/>
        <v>0</v>
      </c>
      <c r="AA91" s="161">
        <f t="shared" si="150"/>
        <v>0</v>
      </c>
      <c r="AB91" s="161">
        <f t="shared" si="150"/>
        <v>0</v>
      </c>
      <c r="AC91" s="161">
        <f t="shared" si="150"/>
        <v>0</v>
      </c>
      <c r="AD91" s="161">
        <f t="shared" si="150"/>
        <v>0</v>
      </c>
      <c r="AE91" s="161">
        <f t="shared" si="150"/>
        <v>0</v>
      </c>
      <c r="AF91" s="161">
        <f t="shared" si="143"/>
        <v>101155068.47999999</v>
      </c>
      <c r="AG91" s="169"/>
      <c r="AH91" s="66" t="s">
        <v>1030</v>
      </c>
      <c r="AI91" s="149" t="s">
        <v>819</v>
      </c>
      <c r="AJ91" s="170">
        <f t="shared" si="144"/>
        <v>1.4681830647439142</v>
      </c>
      <c r="AK91" s="170">
        <f t="shared" si="130"/>
        <v>0.50463038098453106</v>
      </c>
      <c r="AL91" s="170">
        <f t="shared" si="131"/>
        <v>0.62205678863502611</v>
      </c>
      <c r="AM91" s="170">
        <f t="shared" si="132"/>
        <v>-1</v>
      </c>
      <c r="AN91" s="170">
        <f t="shared" si="133"/>
        <v>-1</v>
      </c>
      <c r="AO91" s="170">
        <f t="shared" si="134"/>
        <v>-1</v>
      </c>
      <c r="AP91" s="170">
        <f t="shared" si="135"/>
        <v>-1</v>
      </c>
      <c r="AQ91" s="170">
        <f t="shared" si="136"/>
        <v>-1</v>
      </c>
      <c r="AR91" s="170">
        <f t="shared" si="137"/>
        <v>-1</v>
      </c>
      <c r="AS91" s="170">
        <f t="shared" si="138"/>
        <v>-1</v>
      </c>
      <c r="AT91" s="170">
        <f t="shared" si="139"/>
        <v>-1</v>
      </c>
      <c r="AU91" s="170">
        <f t="shared" si="140"/>
        <v>-1</v>
      </c>
      <c r="AV91" s="170">
        <f t="shared" si="141"/>
        <v>-0.53376081380304419</v>
      </c>
      <c r="AX91" s="66" t="s">
        <v>1030</v>
      </c>
      <c r="AY91" s="66" t="s">
        <v>819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32">
        <f t="shared" si="107"/>
        <v>-19324558.999999985</v>
      </c>
    </row>
    <row r="92" spans="1:59" ht="16.5" customHeight="1" x14ac:dyDescent="0.25">
      <c r="A92" s="35">
        <v>205102011</v>
      </c>
      <c r="B92" s="36" t="s">
        <v>819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9"/>
      <c r="R92" s="66" t="s">
        <v>1031</v>
      </c>
      <c r="S92" s="149" t="s">
        <v>819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61">
        <f t="shared" ref="W92:AE92" si="154">SUM(W93)</f>
        <v>0</v>
      </c>
      <c r="X92" s="161">
        <f t="shared" si="154"/>
        <v>0</v>
      </c>
      <c r="Y92" s="161">
        <f t="shared" si="154"/>
        <v>0</v>
      </c>
      <c r="Z92" s="161">
        <f t="shared" si="154"/>
        <v>0</v>
      </c>
      <c r="AA92" s="161">
        <f t="shared" si="154"/>
        <v>0</v>
      </c>
      <c r="AB92" s="161">
        <f t="shared" si="154"/>
        <v>0</v>
      </c>
      <c r="AC92" s="161">
        <f t="shared" si="154"/>
        <v>0</v>
      </c>
      <c r="AD92" s="161">
        <f t="shared" si="154"/>
        <v>0</v>
      </c>
      <c r="AE92" s="161">
        <f t="shared" si="154"/>
        <v>0</v>
      </c>
      <c r="AF92" s="161">
        <f t="shared" si="143"/>
        <v>101155068.47999999</v>
      </c>
      <c r="AG92" s="169"/>
      <c r="AH92" s="66" t="s">
        <v>1031</v>
      </c>
      <c r="AI92" s="149" t="s">
        <v>819</v>
      </c>
      <c r="AJ92" s="170">
        <f t="shared" si="144"/>
        <v>1.4681830647439142</v>
      </c>
      <c r="AK92" s="170">
        <f t="shared" si="130"/>
        <v>0.50463038098453106</v>
      </c>
      <c r="AL92" s="170">
        <f t="shared" si="131"/>
        <v>0.62205678863502611</v>
      </c>
      <c r="AM92" s="170">
        <f t="shared" si="132"/>
        <v>-1</v>
      </c>
      <c r="AN92" s="170">
        <f t="shared" si="133"/>
        <v>-1</v>
      </c>
      <c r="AO92" s="170">
        <f t="shared" si="134"/>
        <v>-1</v>
      </c>
      <c r="AP92" s="170">
        <f t="shared" si="135"/>
        <v>-1</v>
      </c>
      <c r="AQ92" s="170">
        <f t="shared" si="136"/>
        <v>-1</v>
      </c>
      <c r="AR92" s="170">
        <f t="shared" si="137"/>
        <v>-1</v>
      </c>
      <c r="AS92" s="170">
        <f t="shared" si="138"/>
        <v>-1</v>
      </c>
      <c r="AT92" s="170">
        <f t="shared" si="139"/>
        <v>-1</v>
      </c>
      <c r="AU92" s="170">
        <f t="shared" si="140"/>
        <v>-1</v>
      </c>
      <c r="AV92" s="170">
        <f t="shared" si="141"/>
        <v>-0.53376081380304419</v>
      </c>
      <c r="AX92" s="66" t="s">
        <v>1031</v>
      </c>
      <c r="AY92" s="66" t="s">
        <v>819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32">
        <f t="shared" si="107"/>
        <v>-19324558.999999985</v>
      </c>
    </row>
    <row r="93" spans="1:59" ht="16.5" customHeight="1" x14ac:dyDescent="0.25">
      <c r="A93" s="35">
        <v>20510201101</v>
      </c>
      <c r="B93" s="36" t="s">
        <v>819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1032</v>
      </c>
      <c r="AY93" s="69" t="s">
        <v>819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32">
        <f t="shared" si="107"/>
        <v>-19324559</v>
      </c>
    </row>
    <row r="94" spans="1:59" ht="16.5" customHeight="1" x14ac:dyDescent="0.25">
      <c r="A94" s="37" t="s">
        <v>1033</v>
      </c>
      <c r="B94" s="38" t="s">
        <v>820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9"/>
      <c r="R94" s="99" t="s">
        <v>1033</v>
      </c>
      <c r="S94" s="154" t="s">
        <v>820</v>
      </c>
      <c r="T94" s="162">
        <f>T100+T101</f>
        <v>9054421</v>
      </c>
      <c r="U94" s="162">
        <v>3554212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>
        <f t="shared" si="143"/>
        <v>12608633</v>
      </c>
      <c r="AG94" s="169"/>
      <c r="AH94" s="99" t="s">
        <v>1033</v>
      </c>
      <c r="AI94" s="154" t="s">
        <v>820</v>
      </c>
      <c r="AJ94" s="171">
        <f t="shared" si="144"/>
        <v>-0.49920146065333831</v>
      </c>
      <c r="AK94" s="171">
        <f t="shared" si="130"/>
        <v>-0.80341711765684665</v>
      </c>
      <c r="AL94" s="171">
        <f t="shared" si="131"/>
        <v>-1</v>
      </c>
      <c r="AM94" s="171">
        <f t="shared" si="132"/>
        <v>-1</v>
      </c>
      <c r="AN94" s="171">
        <f t="shared" si="133"/>
        <v>-1</v>
      </c>
      <c r="AO94" s="171">
        <f t="shared" si="134"/>
        <v>-1</v>
      </c>
      <c r="AP94" s="171">
        <f t="shared" si="135"/>
        <v>-1</v>
      </c>
      <c r="AQ94" s="171">
        <f t="shared" si="136"/>
        <v>-1</v>
      </c>
      <c r="AR94" s="171">
        <f t="shared" si="137"/>
        <v>-1</v>
      </c>
      <c r="AS94" s="171">
        <f t="shared" si="138"/>
        <v>-1</v>
      </c>
      <c r="AT94" s="171">
        <f t="shared" si="139"/>
        <v>-1</v>
      </c>
      <c r="AU94" s="171">
        <f t="shared" si="140"/>
        <v>-1</v>
      </c>
      <c r="AV94" s="171">
        <f t="shared" si="141"/>
        <v>-0.94188488152584871</v>
      </c>
      <c r="AX94" s="99" t="s">
        <v>1033</v>
      </c>
      <c r="AY94" s="84" t="s">
        <v>820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32">
        <f t="shared" si="107"/>
        <v>0</v>
      </c>
    </row>
    <row r="95" spans="1:59" ht="16.5" customHeight="1" x14ac:dyDescent="0.25">
      <c r="A95" s="145" t="s">
        <v>1034</v>
      </c>
      <c r="B95" s="146" t="s">
        <v>821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 t="shared" si="122"/>
        <v>0</v>
      </c>
      <c r="P95" s="52">
        <f t="shared" ref="P95:P108" si="159">SUM(C95:N95)</f>
        <v>0</v>
      </c>
      <c r="Q95" s="169"/>
      <c r="R95" s="99" t="s">
        <v>1034</v>
      </c>
      <c r="S95" s="154" t="s">
        <v>821</v>
      </c>
      <c r="T95" s="162">
        <v>2190189</v>
      </c>
      <c r="U95" s="162">
        <v>1805477</v>
      </c>
      <c r="V95" s="162">
        <v>1148093</v>
      </c>
      <c r="W95" s="162"/>
      <c r="X95" s="162"/>
      <c r="Y95" s="162"/>
      <c r="Z95" s="162"/>
      <c r="AA95" s="162"/>
      <c r="AB95" s="162"/>
      <c r="AC95" s="162"/>
      <c r="AD95" s="162"/>
      <c r="AE95" s="162"/>
      <c r="AF95" s="162">
        <f t="shared" si="143"/>
        <v>5143759</v>
      </c>
      <c r="AG95" s="169"/>
      <c r="AH95" s="99" t="s">
        <v>1034</v>
      </c>
      <c r="AI95" s="154" t="s">
        <v>821</v>
      </c>
      <c r="AJ95" s="171" t="e">
        <f t="shared" si="144"/>
        <v>#DIV/0!</v>
      </c>
      <c r="AK95" s="171" t="e">
        <f t="shared" si="130"/>
        <v>#DIV/0!</v>
      </c>
      <c r="AL95" s="171" t="e">
        <f t="shared" si="131"/>
        <v>#DIV/0!</v>
      </c>
      <c r="AM95" s="171" t="e">
        <f t="shared" si="132"/>
        <v>#DIV/0!</v>
      </c>
      <c r="AN95" s="171" t="e">
        <f t="shared" si="133"/>
        <v>#DIV/0!</v>
      </c>
      <c r="AO95" s="171" t="e">
        <f t="shared" si="134"/>
        <v>#DIV/0!</v>
      </c>
      <c r="AP95" s="171" t="e">
        <f t="shared" si="135"/>
        <v>#DIV/0!</v>
      </c>
      <c r="AQ95" s="171" t="e">
        <f t="shared" si="136"/>
        <v>#DIV/0!</v>
      </c>
      <c r="AR95" s="171" t="e">
        <f t="shared" si="137"/>
        <v>#DIV/0!</v>
      </c>
      <c r="AS95" s="171" t="e">
        <f t="shared" si="138"/>
        <v>#DIV/0!</v>
      </c>
      <c r="AT95" s="171" t="e">
        <f t="shared" si="139"/>
        <v>#DIV/0!</v>
      </c>
      <c r="AU95" s="171" t="e">
        <f t="shared" si="140"/>
        <v>#DIV/0!</v>
      </c>
      <c r="AV95" s="171" t="e">
        <f t="shared" si="141"/>
        <v>#DIV/0!</v>
      </c>
      <c r="AX95" s="99" t="s">
        <v>1034</v>
      </c>
      <c r="AY95" s="84" t="s">
        <v>821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32">
        <f t="shared" si="107"/>
        <v>0</v>
      </c>
    </row>
    <row r="96" spans="1:59" ht="16.5" customHeight="1" x14ac:dyDescent="0.25">
      <c r="A96" s="145" t="s">
        <v>1035</v>
      </c>
      <c r="B96" s="146" t="s">
        <v>822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>
        <f t="shared" si="122"/>
        <v>0</v>
      </c>
      <c r="P96" s="52">
        <f t="shared" si="159"/>
        <v>0</v>
      </c>
      <c r="Q96" s="169"/>
      <c r="R96" s="99" t="s">
        <v>1035</v>
      </c>
      <c r="S96" s="154" t="s">
        <v>822</v>
      </c>
      <c r="T96" s="162">
        <v>4580995</v>
      </c>
      <c r="U96" s="162">
        <v>3761484</v>
      </c>
      <c r="V96" s="162">
        <v>4149180</v>
      </c>
      <c r="W96" s="162"/>
      <c r="X96" s="162"/>
      <c r="Y96" s="162"/>
      <c r="Z96" s="162"/>
      <c r="AA96" s="162"/>
      <c r="AB96" s="162"/>
      <c r="AC96" s="162"/>
      <c r="AD96" s="162"/>
      <c r="AE96" s="162"/>
      <c r="AF96" s="162">
        <f t="shared" si="143"/>
        <v>12491659</v>
      </c>
      <c r="AG96" s="169"/>
      <c r="AH96" s="99" t="s">
        <v>1035</v>
      </c>
      <c r="AI96" s="154" t="s">
        <v>822</v>
      </c>
      <c r="AJ96" s="171" t="e">
        <f t="shared" si="144"/>
        <v>#DIV/0!</v>
      </c>
      <c r="AK96" s="171" t="e">
        <f t="shared" si="130"/>
        <v>#DIV/0!</v>
      </c>
      <c r="AL96" s="171" t="e">
        <f t="shared" si="131"/>
        <v>#DIV/0!</v>
      </c>
      <c r="AM96" s="171" t="e">
        <f t="shared" si="132"/>
        <v>#DIV/0!</v>
      </c>
      <c r="AN96" s="171" t="e">
        <f t="shared" si="133"/>
        <v>#DIV/0!</v>
      </c>
      <c r="AO96" s="171" t="e">
        <f t="shared" si="134"/>
        <v>#DIV/0!</v>
      </c>
      <c r="AP96" s="171" t="e">
        <f t="shared" si="135"/>
        <v>#DIV/0!</v>
      </c>
      <c r="AQ96" s="171" t="e">
        <f t="shared" si="136"/>
        <v>#DIV/0!</v>
      </c>
      <c r="AR96" s="171" t="e">
        <f t="shared" si="137"/>
        <v>#DIV/0!</v>
      </c>
      <c r="AS96" s="171" t="e">
        <f t="shared" si="138"/>
        <v>#DIV/0!</v>
      </c>
      <c r="AT96" s="171" t="e">
        <f t="shared" si="139"/>
        <v>#DIV/0!</v>
      </c>
      <c r="AU96" s="171" t="e">
        <f t="shared" si="140"/>
        <v>#DIV/0!</v>
      </c>
      <c r="AV96" s="171" t="e">
        <f t="shared" si="141"/>
        <v>#DIV/0!</v>
      </c>
      <c r="AX96" s="99" t="s">
        <v>1035</v>
      </c>
      <c r="AY96" s="84" t="s">
        <v>822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32">
        <f t="shared" si="107"/>
        <v>0</v>
      </c>
    </row>
    <row r="97" spans="1:59" ht="16.5" customHeight="1" x14ac:dyDescent="0.25">
      <c r="A97" s="145" t="s">
        <v>1036</v>
      </c>
      <c r="B97" s="146" t="s">
        <v>823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 t="shared" si="122"/>
        <v>0</v>
      </c>
      <c r="P97" s="52">
        <f t="shared" si="159"/>
        <v>0</v>
      </c>
      <c r="Q97" s="168"/>
      <c r="R97" s="99" t="s">
        <v>1036</v>
      </c>
      <c r="S97" s="154" t="s">
        <v>823</v>
      </c>
      <c r="T97" s="162">
        <v>1098826.25</v>
      </c>
      <c r="U97" s="162">
        <v>1121697.3400000001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>
        <f t="shared" si="143"/>
        <v>2220523.59</v>
      </c>
      <c r="AG97" s="168"/>
      <c r="AH97" s="99" t="s">
        <v>1036</v>
      </c>
      <c r="AI97" s="154" t="s">
        <v>823</v>
      </c>
      <c r="AJ97" s="171" t="e">
        <f t="shared" si="144"/>
        <v>#DIV/0!</v>
      </c>
      <c r="AK97" s="171" t="e">
        <f t="shared" si="130"/>
        <v>#DIV/0!</v>
      </c>
      <c r="AL97" s="171" t="e">
        <f t="shared" si="131"/>
        <v>#DIV/0!</v>
      </c>
      <c r="AM97" s="171" t="e">
        <f t="shared" si="132"/>
        <v>#DIV/0!</v>
      </c>
      <c r="AN97" s="171" t="e">
        <f t="shared" si="133"/>
        <v>#DIV/0!</v>
      </c>
      <c r="AO97" s="171" t="e">
        <f t="shared" si="134"/>
        <v>#DIV/0!</v>
      </c>
      <c r="AP97" s="171" t="e">
        <f t="shared" si="135"/>
        <v>#DIV/0!</v>
      </c>
      <c r="AQ97" s="171" t="e">
        <f t="shared" si="136"/>
        <v>#DIV/0!</v>
      </c>
      <c r="AR97" s="171" t="e">
        <f t="shared" si="137"/>
        <v>#DIV/0!</v>
      </c>
      <c r="AS97" s="171" t="e">
        <f t="shared" si="138"/>
        <v>#DIV/0!</v>
      </c>
      <c r="AT97" s="171" t="e">
        <f t="shared" si="139"/>
        <v>#DIV/0!</v>
      </c>
      <c r="AU97" s="171" t="e">
        <f t="shared" si="140"/>
        <v>#DIV/0!</v>
      </c>
      <c r="AV97" s="171" t="e">
        <f t="shared" si="141"/>
        <v>#DIV/0!</v>
      </c>
      <c r="AX97" s="99" t="s">
        <v>1036</v>
      </c>
      <c r="AY97" s="84" t="s">
        <v>823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32">
        <f t="shared" si="107"/>
        <v>0</v>
      </c>
    </row>
    <row r="98" spans="1:59" ht="16.5" customHeight="1" x14ac:dyDescent="0.25">
      <c r="A98" s="145" t="s">
        <v>1037</v>
      </c>
      <c r="B98" s="146" t="s">
        <v>824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>
        <f t="shared" si="122"/>
        <v>0</v>
      </c>
      <c r="P98" s="52">
        <f t="shared" si="159"/>
        <v>0</v>
      </c>
      <c r="Q98" s="168"/>
      <c r="R98" s="99" t="s">
        <v>1037</v>
      </c>
      <c r="S98" s="154" t="s">
        <v>824</v>
      </c>
      <c r="T98" s="162">
        <v>11607655.789999999</v>
      </c>
      <c r="U98" s="162">
        <v>10279479.1</v>
      </c>
      <c r="V98" s="162">
        <v>11762045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>
        <f t="shared" si="143"/>
        <v>33649179.890000001</v>
      </c>
      <c r="AG98" s="168"/>
      <c r="AH98" s="99" t="s">
        <v>1037</v>
      </c>
      <c r="AI98" s="154" t="s">
        <v>824</v>
      </c>
      <c r="AJ98" s="171" t="e">
        <f t="shared" si="144"/>
        <v>#DIV/0!</v>
      </c>
      <c r="AK98" s="171" t="e">
        <f t="shared" si="130"/>
        <v>#DIV/0!</v>
      </c>
      <c r="AL98" s="171" t="e">
        <f t="shared" si="131"/>
        <v>#DIV/0!</v>
      </c>
      <c r="AM98" s="171" t="e">
        <f t="shared" si="132"/>
        <v>#DIV/0!</v>
      </c>
      <c r="AN98" s="171" t="e">
        <f t="shared" si="133"/>
        <v>#DIV/0!</v>
      </c>
      <c r="AO98" s="171" t="e">
        <f t="shared" si="134"/>
        <v>#DIV/0!</v>
      </c>
      <c r="AP98" s="171" t="e">
        <f t="shared" si="135"/>
        <v>#DIV/0!</v>
      </c>
      <c r="AQ98" s="171" t="e">
        <f t="shared" si="136"/>
        <v>#DIV/0!</v>
      </c>
      <c r="AR98" s="171" t="e">
        <f t="shared" si="137"/>
        <v>#DIV/0!</v>
      </c>
      <c r="AS98" s="171" t="e">
        <f t="shared" si="138"/>
        <v>#DIV/0!</v>
      </c>
      <c r="AT98" s="171" t="e">
        <f t="shared" si="139"/>
        <v>#DIV/0!</v>
      </c>
      <c r="AU98" s="171" t="e">
        <f t="shared" si="140"/>
        <v>#DIV/0!</v>
      </c>
      <c r="AV98" s="171" t="e">
        <f t="shared" si="141"/>
        <v>#DIV/0!</v>
      </c>
      <c r="AX98" s="99" t="s">
        <v>1037</v>
      </c>
      <c r="AY98" s="84" t="s">
        <v>824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32">
        <f t="shared" si="107"/>
        <v>0</v>
      </c>
    </row>
    <row r="99" spans="1:59" ht="16.5" customHeight="1" x14ac:dyDescent="0.25">
      <c r="A99" s="145" t="s">
        <v>1038</v>
      </c>
      <c r="B99" s="146" t="s">
        <v>825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>
        <f t="shared" si="122"/>
        <v>0</v>
      </c>
      <c r="P99" s="52">
        <f t="shared" si="159"/>
        <v>0</v>
      </c>
      <c r="Q99" s="169"/>
      <c r="R99" s="99" t="s">
        <v>1038</v>
      </c>
      <c r="S99" s="154" t="s">
        <v>825</v>
      </c>
      <c r="T99" s="162">
        <v>2213012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>
        <f t="shared" si="143"/>
        <v>2213012</v>
      </c>
      <c r="AG99" s="169"/>
      <c r="AH99" s="99" t="s">
        <v>1038</v>
      </c>
      <c r="AI99" s="154" t="s">
        <v>825</v>
      </c>
      <c r="AJ99" s="171" t="e">
        <f t="shared" si="144"/>
        <v>#DIV/0!</v>
      </c>
      <c r="AK99" s="171" t="e">
        <f t="shared" si="130"/>
        <v>#DIV/0!</v>
      </c>
      <c r="AL99" s="171" t="e">
        <f t="shared" si="131"/>
        <v>#DIV/0!</v>
      </c>
      <c r="AM99" s="171" t="e">
        <f t="shared" si="132"/>
        <v>#DIV/0!</v>
      </c>
      <c r="AN99" s="171" t="e">
        <f t="shared" si="133"/>
        <v>#DIV/0!</v>
      </c>
      <c r="AO99" s="171" t="e">
        <f t="shared" si="134"/>
        <v>#DIV/0!</v>
      </c>
      <c r="AP99" s="171" t="e">
        <f t="shared" si="135"/>
        <v>#DIV/0!</v>
      </c>
      <c r="AQ99" s="171" t="e">
        <f t="shared" si="136"/>
        <v>#DIV/0!</v>
      </c>
      <c r="AR99" s="171" t="e">
        <f t="shared" si="137"/>
        <v>#DIV/0!</v>
      </c>
      <c r="AS99" s="171" t="e">
        <f t="shared" si="138"/>
        <v>#DIV/0!</v>
      </c>
      <c r="AT99" s="171" t="e">
        <f t="shared" si="139"/>
        <v>#DIV/0!</v>
      </c>
      <c r="AU99" s="171" t="e">
        <f t="shared" si="140"/>
        <v>#DIV/0!</v>
      </c>
      <c r="AV99" s="171" t="e">
        <f t="shared" si="141"/>
        <v>#DIV/0!</v>
      </c>
      <c r="AX99" s="99" t="s">
        <v>1038</v>
      </c>
      <c r="AY99" s="84" t="s">
        <v>825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32">
        <f t="shared" si="107"/>
        <v>0</v>
      </c>
    </row>
    <row r="100" spans="1:59" ht="16.5" customHeight="1" x14ac:dyDescent="0.25">
      <c r="A100" s="145" t="s">
        <v>1039</v>
      </c>
      <c r="B100" s="146" t="s">
        <v>1040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>
        <f t="shared" si="122"/>
        <v>0</v>
      </c>
      <c r="P100" s="52">
        <f t="shared" si="159"/>
        <v>0</v>
      </c>
      <c r="Q100" s="169"/>
      <c r="R100" s="99" t="s">
        <v>1039</v>
      </c>
      <c r="S100" s="154" t="s">
        <v>1040</v>
      </c>
      <c r="T100" s="162">
        <v>7803142</v>
      </c>
      <c r="U100" s="162">
        <v>2577828</v>
      </c>
      <c r="V100" s="162">
        <v>8943589</v>
      </c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>
        <f t="shared" si="143"/>
        <v>19324559</v>
      </c>
      <c r="AG100" s="169"/>
      <c r="AH100" s="99" t="s">
        <v>1039</v>
      </c>
      <c r="AI100" s="154" t="s">
        <v>1040</v>
      </c>
      <c r="AJ100" s="171" t="e">
        <f t="shared" si="144"/>
        <v>#DIV/0!</v>
      </c>
      <c r="AK100" s="171" t="e">
        <f t="shared" si="130"/>
        <v>#DIV/0!</v>
      </c>
      <c r="AL100" s="171" t="e">
        <f t="shared" si="131"/>
        <v>#DIV/0!</v>
      </c>
      <c r="AM100" s="171" t="e">
        <f t="shared" si="132"/>
        <v>#DIV/0!</v>
      </c>
      <c r="AN100" s="171" t="e">
        <f t="shared" si="133"/>
        <v>#DIV/0!</v>
      </c>
      <c r="AO100" s="171" t="e">
        <f t="shared" si="134"/>
        <v>#DIV/0!</v>
      </c>
      <c r="AP100" s="171" t="e">
        <f t="shared" si="135"/>
        <v>#DIV/0!</v>
      </c>
      <c r="AQ100" s="171" t="e">
        <f t="shared" si="136"/>
        <v>#DIV/0!</v>
      </c>
      <c r="AR100" s="171" t="e">
        <f t="shared" si="137"/>
        <v>#DIV/0!</v>
      </c>
      <c r="AS100" s="171" t="e">
        <f t="shared" si="138"/>
        <v>#DIV/0!</v>
      </c>
      <c r="AT100" s="171" t="e">
        <f t="shared" si="139"/>
        <v>#DIV/0!</v>
      </c>
      <c r="AU100" s="171" t="e">
        <f t="shared" si="140"/>
        <v>#DIV/0!</v>
      </c>
      <c r="AV100" s="171" t="e">
        <f t="shared" si="141"/>
        <v>#DIV/0!</v>
      </c>
      <c r="AX100" s="99" t="s">
        <v>1039</v>
      </c>
      <c r="AY100" s="84" t="s">
        <v>1040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32">
        <f t="shared" si="107"/>
        <v>0</v>
      </c>
    </row>
    <row r="101" spans="1:59" ht="16.5" customHeight="1" x14ac:dyDescent="0.25">
      <c r="A101" s="145" t="s">
        <v>1041</v>
      </c>
      <c r="B101" s="146" t="s">
        <v>1042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>
        <f t="shared" si="122"/>
        <v>0</v>
      </c>
      <c r="P101" s="52">
        <f t="shared" si="159"/>
        <v>0</v>
      </c>
      <c r="Q101" s="169"/>
      <c r="R101" s="99" t="s">
        <v>1041</v>
      </c>
      <c r="S101" s="154" t="s">
        <v>1042</v>
      </c>
      <c r="T101" s="162">
        <v>1251279</v>
      </c>
      <c r="U101" s="162">
        <v>976384</v>
      </c>
      <c r="V101" s="162">
        <v>532554</v>
      </c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>
        <f t="shared" si="143"/>
        <v>2760217</v>
      </c>
      <c r="AG101" s="169"/>
      <c r="AH101" s="99" t="s">
        <v>1041</v>
      </c>
      <c r="AI101" s="154" t="s">
        <v>1042</v>
      </c>
      <c r="AJ101" s="171" t="e">
        <f t="shared" si="144"/>
        <v>#DIV/0!</v>
      </c>
      <c r="AK101" s="171" t="e">
        <f t="shared" si="130"/>
        <v>#DIV/0!</v>
      </c>
      <c r="AL101" s="171" t="e">
        <f t="shared" si="131"/>
        <v>#DIV/0!</v>
      </c>
      <c r="AM101" s="171" t="e">
        <f t="shared" si="132"/>
        <v>#DIV/0!</v>
      </c>
      <c r="AN101" s="171" t="e">
        <f t="shared" si="133"/>
        <v>#DIV/0!</v>
      </c>
      <c r="AO101" s="171" t="e">
        <f t="shared" si="134"/>
        <v>#DIV/0!</v>
      </c>
      <c r="AP101" s="171" t="e">
        <f t="shared" si="135"/>
        <v>#DIV/0!</v>
      </c>
      <c r="AQ101" s="171" t="e">
        <f t="shared" si="136"/>
        <v>#DIV/0!</v>
      </c>
      <c r="AR101" s="171" t="e">
        <f t="shared" si="137"/>
        <v>#DIV/0!</v>
      </c>
      <c r="AS101" s="171" t="e">
        <f t="shared" si="138"/>
        <v>#DIV/0!</v>
      </c>
      <c r="AT101" s="171" t="e">
        <f t="shared" si="139"/>
        <v>#DIV/0!</v>
      </c>
      <c r="AU101" s="171" t="e">
        <f t="shared" si="140"/>
        <v>#DIV/0!</v>
      </c>
      <c r="AV101" s="171" t="e">
        <f t="shared" si="141"/>
        <v>#DIV/0!</v>
      </c>
      <c r="AX101" s="99" t="s">
        <v>1041</v>
      </c>
      <c r="AY101" s="84" t="s">
        <v>1042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32">
        <f t="shared" si="107"/>
        <v>0</v>
      </c>
    </row>
    <row r="102" spans="1:59" ht="16.5" customHeight="1" x14ac:dyDescent="0.25">
      <c r="A102" s="145" t="s">
        <v>1043</v>
      </c>
      <c r="B102" s="146" t="s">
        <v>1044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f t="shared" si="122"/>
        <v>0</v>
      </c>
      <c r="P102" s="52">
        <f t="shared" si="159"/>
        <v>0</v>
      </c>
      <c r="Q102" s="168"/>
      <c r="R102" s="99" t="s">
        <v>1043</v>
      </c>
      <c r="S102" s="154" t="s">
        <v>1044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>
        <f t="shared" si="143"/>
        <v>0</v>
      </c>
      <c r="AG102" s="168"/>
      <c r="AH102" s="99" t="s">
        <v>1043</v>
      </c>
      <c r="AI102" s="154" t="s">
        <v>1044</v>
      </c>
      <c r="AJ102" s="171" t="e">
        <f t="shared" si="144"/>
        <v>#DIV/0!</v>
      </c>
      <c r="AK102" s="171" t="e">
        <f t="shared" si="130"/>
        <v>#DIV/0!</v>
      </c>
      <c r="AL102" s="171" t="e">
        <f t="shared" si="131"/>
        <v>#DIV/0!</v>
      </c>
      <c r="AM102" s="171" t="e">
        <f t="shared" si="132"/>
        <v>#DIV/0!</v>
      </c>
      <c r="AN102" s="171" t="e">
        <f t="shared" si="133"/>
        <v>#DIV/0!</v>
      </c>
      <c r="AO102" s="171" t="e">
        <f t="shared" si="134"/>
        <v>#DIV/0!</v>
      </c>
      <c r="AP102" s="171" t="e">
        <f t="shared" si="135"/>
        <v>#DIV/0!</v>
      </c>
      <c r="AQ102" s="171" t="e">
        <f t="shared" si="136"/>
        <v>#DIV/0!</v>
      </c>
      <c r="AR102" s="171" t="e">
        <f t="shared" si="137"/>
        <v>#DIV/0!</v>
      </c>
      <c r="AS102" s="171" t="e">
        <f t="shared" si="138"/>
        <v>#DIV/0!</v>
      </c>
      <c r="AT102" s="171" t="e">
        <f t="shared" si="139"/>
        <v>#DIV/0!</v>
      </c>
      <c r="AU102" s="171" t="e">
        <f t="shared" si="140"/>
        <v>#DIV/0!</v>
      </c>
      <c r="AV102" s="171" t="e">
        <f t="shared" si="141"/>
        <v>#DIV/0!</v>
      </c>
      <c r="AX102" s="99" t="s">
        <v>1043</v>
      </c>
      <c r="AY102" s="84" t="s">
        <v>1044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32">
        <f t="shared" si="107"/>
        <v>0</v>
      </c>
    </row>
    <row r="103" spans="1:59" ht="16.5" customHeight="1" x14ac:dyDescent="0.25">
      <c r="A103" s="145" t="s">
        <v>1045</v>
      </c>
      <c r="B103" s="146" t="s">
        <v>1046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>
        <f t="shared" si="122"/>
        <v>0</v>
      </c>
      <c r="P103" s="52">
        <f t="shared" si="159"/>
        <v>0</v>
      </c>
      <c r="Q103" s="169"/>
      <c r="R103" s="99" t="s">
        <v>1045</v>
      </c>
      <c r="S103" s="154" t="s">
        <v>1046</v>
      </c>
      <c r="T103" s="162">
        <v>462115</v>
      </c>
      <c r="U103" s="162">
        <v>427597</v>
      </c>
      <c r="V103" s="162">
        <v>315682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>
        <f t="shared" si="143"/>
        <v>1205394</v>
      </c>
      <c r="AG103" s="169"/>
      <c r="AH103" s="99" t="s">
        <v>1045</v>
      </c>
      <c r="AI103" s="154" t="s">
        <v>1046</v>
      </c>
      <c r="AJ103" s="171" t="e">
        <f t="shared" si="144"/>
        <v>#DIV/0!</v>
      </c>
      <c r="AK103" s="171" t="e">
        <f t="shared" si="130"/>
        <v>#DIV/0!</v>
      </c>
      <c r="AL103" s="171" t="e">
        <f t="shared" si="131"/>
        <v>#DIV/0!</v>
      </c>
      <c r="AM103" s="171" t="e">
        <f t="shared" si="132"/>
        <v>#DIV/0!</v>
      </c>
      <c r="AN103" s="171" t="e">
        <f t="shared" si="133"/>
        <v>#DIV/0!</v>
      </c>
      <c r="AO103" s="171" t="e">
        <f t="shared" si="134"/>
        <v>#DIV/0!</v>
      </c>
      <c r="AP103" s="171" t="e">
        <f t="shared" si="135"/>
        <v>#DIV/0!</v>
      </c>
      <c r="AQ103" s="171" t="e">
        <f t="shared" si="136"/>
        <v>#DIV/0!</v>
      </c>
      <c r="AR103" s="171" t="e">
        <f t="shared" si="137"/>
        <v>#DIV/0!</v>
      </c>
      <c r="AS103" s="171" t="e">
        <f t="shared" si="138"/>
        <v>#DIV/0!</v>
      </c>
      <c r="AT103" s="171" t="e">
        <f t="shared" si="139"/>
        <v>#DIV/0!</v>
      </c>
      <c r="AU103" s="171" t="e">
        <f t="shared" si="140"/>
        <v>#DIV/0!</v>
      </c>
      <c r="AV103" s="171" t="e">
        <f t="shared" si="141"/>
        <v>#DIV/0!</v>
      </c>
      <c r="AX103" s="99" t="s">
        <v>1045</v>
      </c>
      <c r="AY103" s="84" t="s">
        <v>1046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32">
        <f t="shared" si="107"/>
        <v>0</v>
      </c>
    </row>
    <row r="104" spans="1:59" ht="16.5" customHeight="1" x14ac:dyDescent="0.25">
      <c r="A104" s="145" t="s">
        <v>1047</v>
      </c>
      <c r="B104" s="146" t="s">
        <v>1048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>
        <f t="shared" si="122"/>
        <v>0</v>
      </c>
      <c r="P104" s="52">
        <f t="shared" si="159"/>
        <v>0</v>
      </c>
      <c r="Q104" s="169"/>
      <c r="R104" s="99" t="s">
        <v>1047</v>
      </c>
      <c r="S104" s="154" t="s">
        <v>1048</v>
      </c>
      <c r="T104" s="162">
        <v>1765935</v>
      </c>
      <c r="U104" s="162">
        <v>1682541</v>
      </c>
      <c r="V104" s="162">
        <v>1400864</v>
      </c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>
        <f t="shared" si="143"/>
        <v>4849340</v>
      </c>
      <c r="AG104" s="169"/>
      <c r="AH104" s="99" t="s">
        <v>1047</v>
      </c>
      <c r="AI104" s="154" t="s">
        <v>1048</v>
      </c>
      <c r="AJ104" s="171" t="e">
        <f t="shared" si="144"/>
        <v>#DIV/0!</v>
      </c>
      <c r="AK104" s="171" t="e">
        <f t="shared" si="130"/>
        <v>#DIV/0!</v>
      </c>
      <c r="AL104" s="171" t="e">
        <f t="shared" si="131"/>
        <v>#DIV/0!</v>
      </c>
      <c r="AM104" s="171" t="e">
        <f t="shared" si="132"/>
        <v>#DIV/0!</v>
      </c>
      <c r="AN104" s="171" t="e">
        <f t="shared" si="133"/>
        <v>#DIV/0!</v>
      </c>
      <c r="AO104" s="171" t="e">
        <f t="shared" si="134"/>
        <v>#DIV/0!</v>
      </c>
      <c r="AP104" s="171" t="e">
        <f t="shared" si="135"/>
        <v>#DIV/0!</v>
      </c>
      <c r="AQ104" s="171" t="e">
        <f t="shared" si="136"/>
        <v>#DIV/0!</v>
      </c>
      <c r="AR104" s="171" t="e">
        <f t="shared" si="137"/>
        <v>#DIV/0!</v>
      </c>
      <c r="AS104" s="171" t="e">
        <f t="shared" si="138"/>
        <v>#DIV/0!</v>
      </c>
      <c r="AT104" s="171" t="e">
        <f t="shared" si="139"/>
        <v>#DIV/0!</v>
      </c>
      <c r="AU104" s="171" t="e">
        <f t="shared" si="140"/>
        <v>#DIV/0!</v>
      </c>
      <c r="AV104" s="171" t="e">
        <f t="shared" si="141"/>
        <v>#DIV/0!</v>
      </c>
      <c r="AX104" s="99" t="s">
        <v>1047</v>
      </c>
      <c r="AY104" s="84" t="s">
        <v>1048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32">
        <f t="shared" si="107"/>
        <v>0</v>
      </c>
    </row>
    <row r="105" spans="1:59" ht="16.5" customHeight="1" x14ac:dyDescent="0.25">
      <c r="A105" s="145" t="s">
        <v>1049</v>
      </c>
      <c r="B105" s="146" t="s">
        <v>1050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>
        <f t="shared" si="122"/>
        <v>0</v>
      </c>
      <c r="P105" s="52">
        <f t="shared" si="159"/>
        <v>0</v>
      </c>
      <c r="Q105" s="169"/>
      <c r="R105" s="99" t="s">
        <v>1049</v>
      </c>
      <c r="S105" s="154" t="s">
        <v>1050</v>
      </c>
      <c r="T105" s="162">
        <v>1777997</v>
      </c>
      <c r="U105" s="162"/>
      <c r="V105" s="162">
        <v>98116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>
        <f t="shared" si="143"/>
        <v>1876113</v>
      </c>
      <c r="AG105" s="169"/>
      <c r="AH105" s="99" t="s">
        <v>1049</v>
      </c>
      <c r="AI105" s="154" t="s">
        <v>1050</v>
      </c>
      <c r="AJ105" s="171" t="e">
        <f t="shared" si="144"/>
        <v>#DIV/0!</v>
      </c>
      <c r="AK105" s="171" t="e">
        <f t="shared" si="130"/>
        <v>#DIV/0!</v>
      </c>
      <c r="AL105" s="171" t="e">
        <f t="shared" si="131"/>
        <v>#DIV/0!</v>
      </c>
      <c r="AM105" s="171" t="e">
        <f t="shared" si="132"/>
        <v>#DIV/0!</v>
      </c>
      <c r="AN105" s="171" t="e">
        <f t="shared" si="133"/>
        <v>#DIV/0!</v>
      </c>
      <c r="AO105" s="171" t="e">
        <f t="shared" si="134"/>
        <v>#DIV/0!</v>
      </c>
      <c r="AP105" s="171" t="e">
        <f t="shared" si="135"/>
        <v>#DIV/0!</v>
      </c>
      <c r="AQ105" s="171" t="e">
        <f t="shared" si="136"/>
        <v>#DIV/0!</v>
      </c>
      <c r="AR105" s="171" t="e">
        <f t="shared" si="137"/>
        <v>#DIV/0!</v>
      </c>
      <c r="AS105" s="171" t="e">
        <f t="shared" si="138"/>
        <v>#DIV/0!</v>
      </c>
      <c r="AT105" s="171" t="e">
        <f t="shared" si="139"/>
        <v>#DIV/0!</v>
      </c>
      <c r="AU105" s="171" t="e">
        <f t="shared" si="140"/>
        <v>#DIV/0!</v>
      </c>
      <c r="AV105" s="171" t="e">
        <f t="shared" si="141"/>
        <v>#DIV/0!</v>
      </c>
      <c r="AX105" s="99" t="s">
        <v>1049</v>
      </c>
      <c r="AY105" s="84" t="s">
        <v>1050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32">
        <f t="shared" si="107"/>
        <v>0</v>
      </c>
    </row>
    <row r="106" spans="1:59" ht="16.5" customHeight="1" x14ac:dyDescent="0.25">
      <c r="A106" s="145" t="s">
        <v>1051</v>
      </c>
      <c r="B106" s="146" t="s">
        <v>1052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>
        <f t="shared" si="122"/>
        <v>0</v>
      </c>
      <c r="P106" s="52">
        <f t="shared" si="159"/>
        <v>0</v>
      </c>
      <c r="Q106" s="169"/>
      <c r="R106" s="99" t="s">
        <v>1051</v>
      </c>
      <c r="S106" s="154" t="s">
        <v>1052</v>
      </c>
      <c r="T106" s="162"/>
      <c r="U106" s="162">
        <v>89470</v>
      </c>
      <c r="V106" s="162">
        <v>95763</v>
      </c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>
        <f t="shared" si="143"/>
        <v>185233</v>
      </c>
      <c r="AG106" s="169"/>
      <c r="AH106" s="99" t="s">
        <v>1051</v>
      </c>
      <c r="AI106" s="154" t="s">
        <v>1052</v>
      </c>
      <c r="AJ106" s="171" t="e">
        <f t="shared" si="144"/>
        <v>#DIV/0!</v>
      </c>
      <c r="AK106" s="171" t="e">
        <f t="shared" si="130"/>
        <v>#DIV/0!</v>
      </c>
      <c r="AL106" s="171" t="e">
        <f t="shared" si="131"/>
        <v>#DIV/0!</v>
      </c>
      <c r="AM106" s="171" t="e">
        <f t="shared" si="132"/>
        <v>#DIV/0!</v>
      </c>
      <c r="AN106" s="171" t="e">
        <f t="shared" si="133"/>
        <v>#DIV/0!</v>
      </c>
      <c r="AO106" s="171" t="e">
        <f t="shared" si="134"/>
        <v>#DIV/0!</v>
      </c>
      <c r="AP106" s="171" t="e">
        <f t="shared" si="135"/>
        <v>#DIV/0!</v>
      </c>
      <c r="AQ106" s="171" t="e">
        <f t="shared" si="136"/>
        <v>#DIV/0!</v>
      </c>
      <c r="AR106" s="171" t="e">
        <f t="shared" si="137"/>
        <v>#DIV/0!</v>
      </c>
      <c r="AS106" s="171" t="e">
        <f t="shared" si="138"/>
        <v>#DIV/0!</v>
      </c>
      <c r="AT106" s="171" t="e">
        <f t="shared" si="139"/>
        <v>#DIV/0!</v>
      </c>
      <c r="AU106" s="171" t="e">
        <f t="shared" si="140"/>
        <v>#DIV/0!</v>
      </c>
      <c r="AV106" s="171" t="e">
        <f t="shared" si="141"/>
        <v>#DIV/0!</v>
      </c>
      <c r="AX106" s="99" t="s">
        <v>1051</v>
      </c>
      <c r="AY106" s="84" t="s">
        <v>1052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32">
        <f t="shared" si="107"/>
        <v>0</v>
      </c>
    </row>
    <row r="107" spans="1:59" ht="16.5" customHeight="1" x14ac:dyDescent="0.25">
      <c r="A107" s="145" t="s">
        <v>1053</v>
      </c>
      <c r="B107" s="146" t="s">
        <v>1054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>
        <f t="shared" si="122"/>
        <v>0</v>
      </c>
      <c r="P107" s="52">
        <f t="shared" si="159"/>
        <v>0</v>
      </c>
      <c r="Q107" s="169"/>
      <c r="R107" s="99" t="s">
        <v>1053</v>
      </c>
      <c r="S107" s="154" t="s">
        <v>1054</v>
      </c>
      <c r="T107" s="162">
        <v>333105</v>
      </c>
      <c r="U107" s="162">
        <v>324531</v>
      </c>
      <c r="V107" s="162">
        <v>338112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>
        <f t="shared" si="143"/>
        <v>995748</v>
      </c>
      <c r="AG107" s="169"/>
      <c r="AH107" s="99" t="s">
        <v>1053</v>
      </c>
      <c r="AI107" s="154" t="s">
        <v>1054</v>
      </c>
      <c r="AJ107" s="171" t="e">
        <f t="shared" si="144"/>
        <v>#DIV/0!</v>
      </c>
      <c r="AK107" s="171" t="e">
        <f t="shared" si="130"/>
        <v>#DIV/0!</v>
      </c>
      <c r="AL107" s="171" t="e">
        <f t="shared" si="131"/>
        <v>#DIV/0!</v>
      </c>
      <c r="AM107" s="171" t="e">
        <f t="shared" si="132"/>
        <v>#DIV/0!</v>
      </c>
      <c r="AN107" s="171" t="e">
        <f t="shared" si="133"/>
        <v>#DIV/0!</v>
      </c>
      <c r="AO107" s="171" t="e">
        <f t="shared" si="134"/>
        <v>#DIV/0!</v>
      </c>
      <c r="AP107" s="171" t="e">
        <f t="shared" si="135"/>
        <v>#DIV/0!</v>
      </c>
      <c r="AQ107" s="171" t="e">
        <f t="shared" si="136"/>
        <v>#DIV/0!</v>
      </c>
      <c r="AR107" s="171" t="e">
        <f t="shared" si="137"/>
        <v>#DIV/0!</v>
      </c>
      <c r="AS107" s="171" t="e">
        <f t="shared" si="138"/>
        <v>#DIV/0!</v>
      </c>
      <c r="AT107" s="171" t="e">
        <f t="shared" si="139"/>
        <v>#DIV/0!</v>
      </c>
      <c r="AU107" s="171" t="e">
        <f t="shared" si="140"/>
        <v>#DIV/0!</v>
      </c>
      <c r="AV107" s="171" t="e">
        <f t="shared" si="141"/>
        <v>#DIV/0!</v>
      </c>
      <c r="AX107" s="99" t="s">
        <v>1053</v>
      </c>
      <c r="AY107" s="84" t="s">
        <v>1054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32">
        <f t="shared" si="107"/>
        <v>0</v>
      </c>
    </row>
    <row r="108" spans="1:59" ht="16.5" customHeight="1" x14ac:dyDescent="0.25">
      <c r="A108" s="145" t="s">
        <v>1055</v>
      </c>
      <c r="B108" s="146" t="s">
        <v>1056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>
        <f t="shared" si="122"/>
        <v>0</v>
      </c>
      <c r="P108" s="52">
        <f t="shared" si="159"/>
        <v>0</v>
      </c>
      <c r="Q108" s="168"/>
      <c r="R108" s="99" t="s">
        <v>1055</v>
      </c>
      <c r="S108" s="154" t="s">
        <v>1056</v>
      </c>
      <c r="T108" s="162">
        <v>485996</v>
      </c>
      <c r="U108" s="162">
        <v>602967</v>
      </c>
      <c r="V108" s="162">
        <v>542735</v>
      </c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>
        <f t="shared" si="143"/>
        <v>1631698</v>
      </c>
      <c r="AG108" s="168"/>
      <c r="AH108" s="99" t="s">
        <v>1055</v>
      </c>
      <c r="AI108" s="154" t="s">
        <v>1056</v>
      </c>
      <c r="AJ108" s="171" t="e">
        <f t="shared" si="144"/>
        <v>#DIV/0!</v>
      </c>
      <c r="AK108" s="171" t="e">
        <f t="shared" si="130"/>
        <v>#DIV/0!</v>
      </c>
      <c r="AL108" s="171" t="e">
        <f t="shared" si="131"/>
        <v>#DIV/0!</v>
      </c>
      <c r="AM108" s="171" t="e">
        <f t="shared" si="132"/>
        <v>#DIV/0!</v>
      </c>
      <c r="AN108" s="171" t="e">
        <f t="shared" si="133"/>
        <v>#DIV/0!</v>
      </c>
      <c r="AO108" s="171" t="e">
        <f t="shared" si="134"/>
        <v>#DIV/0!</v>
      </c>
      <c r="AP108" s="171" t="e">
        <f t="shared" si="135"/>
        <v>#DIV/0!</v>
      </c>
      <c r="AQ108" s="171" t="e">
        <f t="shared" si="136"/>
        <v>#DIV/0!</v>
      </c>
      <c r="AR108" s="171" t="e">
        <f t="shared" si="137"/>
        <v>#DIV/0!</v>
      </c>
      <c r="AS108" s="171" t="e">
        <f t="shared" si="138"/>
        <v>#DIV/0!</v>
      </c>
      <c r="AT108" s="171" t="e">
        <f t="shared" si="139"/>
        <v>#DIV/0!</v>
      </c>
      <c r="AU108" s="171" t="e">
        <f t="shared" si="140"/>
        <v>#DIV/0!</v>
      </c>
      <c r="AV108" s="171" t="e">
        <f t="shared" si="141"/>
        <v>#DIV/0!</v>
      </c>
      <c r="AX108" s="99" t="s">
        <v>1055</v>
      </c>
      <c r="AY108" s="84" t="s">
        <v>1056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32">
        <f t="shared" si="107"/>
        <v>0</v>
      </c>
    </row>
    <row r="109" spans="1:59" ht="16.5" customHeight="1" x14ac:dyDescent="0.25">
      <c r="A109" s="30" t="s">
        <v>1057</v>
      </c>
      <c r="B109" s="31" t="s">
        <v>826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9"/>
      <c r="R109" s="104"/>
      <c r="S109" s="158"/>
      <c r="T109" s="161"/>
      <c r="U109" s="161">
        <v>0</v>
      </c>
      <c r="V109" s="161">
        <v>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9"/>
      <c r="AH109" s="104"/>
      <c r="AI109" s="158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X109" s="66" t="s">
        <v>1057</v>
      </c>
      <c r="AY109" s="66" t="s">
        <v>826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32">
        <f t="shared" si="107"/>
        <v>0</v>
      </c>
    </row>
    <row r="110" spans="1:59" ht="16.5" customHeight="1" x14ac:dyDescent="0.25">
      <c r="A110" s="30" t="s">
        <v>1058</v>
      </c>
      <c r="B110" s="31" t="s">
        <v>826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9"/>
      <c r="R110" s="104"/>
      <c r="S110" s="158"/>
      <c r="T110" s="161"/>
      <c r="U110" s="161">
        <v>0</v>
      </c>
      <c r="V110" s="161">
        <v>0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9"/>
      <c r="AH110" s="104"/>
      <c r="AI110" s="158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X110" s="66" t="s">
        <v>1058</v>
      </c>
      <c r="AY110" s="66" t="s">
        <v>826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32">
        <f t="shared" si="107"/>
        <v>0</v>
      </c>
    </row>
    <row r="111" spans="1:59" ht="16.5" customHeight="1" x14ac:dyDescent="0.25">
      <c r="A111" s="30" t="s">
        <v>1059</v>
      </c>
      <c r="B111" s="31" t="s">
        <v>826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9"/>
      <c r="R111" s="104"/>
      <c r="S111" s="158"/>
      <c r="T111" s="161"/>
      <c r="U111" s="161">
        <v>0</v>
      </c>
      <c r="V111" s="161">
        <v>0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9"/>
      <c r="AH111" s="104"/>
      <c r="AI111" s="158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X111" s="66" t="s">
        <v>1059</v>
      </c>
      <c r="AY111" s="66" t="s">
        <v>826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32">
        <f t="shared" si="107"/>
        <v>0</v>
      </c>
    </row>
    <row r="112" spans="1:59" ht="16.5" customHeight="1" x14ac:dyDescent="0.25">
      <c r="A112" s="30" t="s">
        <v>1060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9"/>
      <c r="R112" s="104"/>
      <c r="S112" s="158"/>
      <c r="T112" s="161"/>
      <c r="U112" s="161">
        <v>0</v>
      </c>
      <c r="V112" s="161">
        <v>0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9"/>
      <c r="AH112" s="104"/>
      <c r="AI112" s="158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X112" s="69" t="s">
        <v>1060</v>
      </c>
      <c r="AY112" s="69" t="s">
        <v>826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32">
        <f t="shared" si="107"/>
        <v>0</v>
      </c>
    </row>
    <row r="113" spans="1:59" ht="16.5" customHeight="1" x14ac:dyDescent="0.25">
      <c r="A113" s="145" t="s">
        <v>1061</v>
      </c>
      <c r="B113" s="146" t="s">
        <v>826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>
        <f t="shared" si="122"/>
        <v>0</v>
      </c>
      <c r="P113" s="147"/>
      <c r="Q113" s="168"/>
      <c r="R113" s="99"/>
      <c r="S113" s="154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8"/>
      <c r="AH113" s="99"/>
      <c r="AI113" s="154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X113" s="84" t="s">
        <v>1061</v>
      </c>
      <c r="AY113" s="84" t="s">
        <v>826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32">
        <f t="shared" si="107"/>
        <v>0</v>
      </c>
    </row>
    <row r="114" spans="1:59" ht="16.5" customHeight="1" x14ac:dyDescent="0.25">
      <c r="A114" s="30" t="s">
        <v>1062</v>
      </c>
      <c r="B114" s="31" t="s">
        <v>827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9"/>
      <c r="R114" s="104"/>
      <c r="S114" s="158"/>
      <c r="T114" s="161"/>
      <c r="U114" s="161">
        <v>0</v>
      </c>
      <c r="V114" s="161">
        <v>0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9"/>
      <c r="AH114" s="104"/>
      <c r="AI114" s="158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X114" s="66" t="s">
        <v>1062</v>
      </c>
      <c r="AY114" s="66" t="s">
        <v>827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32">
        <f t="shared" si="107"/>
        <v>0</v>
      </c>
    </row>
    <row r="115" spans="1:59" ht="16.5" customHeight="1" x14ac:dyDescent="0.25">
      <c r="A115" s="30" t="s">
        <v>1063</v>
      </c>
      <c r="B115" s="31" t="s">
        <v>827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9"/>
      <c r="R115" s="104"/>
      <c r="S115" s="158"/>
      <c r="T115" s="161"/>
      <c r="U115" s="161">
        <v>0</v>
      </c>
      <c r="V115" s="161">
        <v>0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9"/>
      <c r="AH115" s="104"/>
      <c r="AI115" s="158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X115" s="66" t="s">
        <v>1063</v>
      </c>
      <c r="AY115" s="66" t="s">
        <v>827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32">
        <f t="shared" si="107"/>
        <v>0</v>
      </c>
    </row>
    <row r="116" spans="1:59" ht="16.5" customHeight="1" x14ac:dyDescent="0.25">
      <c r="A116" s="30" t="s">
        <v>1064</v>
      </c>
      <c r="B116" s="31" t="s">
        <v>827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9"/>
      <c r="R116" s="104"/>
      <c r="S116" s="158"/>
      <c r="T116" s="161"/>
      <c r="U116" s="161">
        <v>0</v>
      </c>
      <c r="V116" s="161">
        <v>0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9"/>
      <c r="AH116" s="104"/>
      <c r="AI116" s="158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X116" s="66" t="s">
        <v>1064</v>
      </c>
      <c r="AY116" s="66" t="s">
        <v>827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32">
        <f t="shared" si="107"/>
        <v>0</v>
      </c>
    </row>
    <row r="117" spans="1:59" ht="16.5" customHeight="1" x14ac:dyDescent="0.25">
      <c r="A117" s="30" t="s">
        <v>1065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9"/>
      <c r="R117" s="104"/>
      <c r="S117" s="158"/>
      <c r="T117" s="161"/>
      <c r="U117" s="161">
        <v>0</v>
      </c>
      <c r="V117" s="161">
        <v>0</v>
      </c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9"/>
      <c r="AH117" s="104"/>
      <c r="AI117" s="158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X117" s="84" t="s">
        <v>1065</v>
      </c>
      <c r="AY117" s="84" t="s">
        <v>827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32">
        <f t="shared" si="107"/>
        <v>0</v>
      </c>
    </row>
    <row r="118" spans="1:59" ht="16.5" customHeight="1" x14ac:dyDescent="0.25">
      <c r="A118" s="145" t="s">
        <v>1066</v>
      </c>
      <c r="B118" s="146" t="s">
        <v>827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>
        <f t="shared" si="122"/>
        <v>0</v>
      </c>
      <c r="P118" s="147"/>
      <c r="Q118" s="168"/>
      <c r="R118" s="99"/>
      <c r="S118" s="154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8"/>
      <c r="AH118" s="99"/>
      <c r="AI118" s="154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X118" s="84" t="s">
        <v>1066</v>
      </c>
      <c r="AY118" s="84" t="s">
        <v>827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32">
        <f t="shared" si="107"/>
        <v>0</v>
      </c>
    </row>
    <row r="119" spans="1:59" ht="16.5" customHeight="1" x14ac:dyDescent="0.25">
      <c r="A119" s="30" t="s">
        <v>1067</v>
      </c>
      <c r="B119" s="31" t="s">
        <v>828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9"/>
      <c r="R119" s="104" t="s">
        <v>1067</v>
      </c>
      <c r="S119" s="158" t="s">
        <v>828</v>
      </c>
      <c r="T119" s="161">
        <f>+T124</f>
        <v>17953833</v>
      </c>
      <c r="U119" s="161">
        <f>+U124</f>
        <v>0</v>
      </c>
      <c r="V119" s="161">
        <f>+V124</f>
        <v>0</v>
      </c>
      <c r="W119" s="161">
        <f t="shared" ref="W119:AE119" si="162">+W124</f>
        <v>0</v>
      </c>
      <c r="X119" s="161">
        <f t="shared" si="162"/>
        <v>0</v>
      </c>
      <c r="Y119" s="161">
        <f t="shared" si="162"/>
        <v>0</v>
      </c>
      <c r="Z119" s="161">
        <f t="shared" si="162"/>
        <v>0</v>
      </c>
      <c r="AA119" s="161">
        <f t="shared" si="162"/>
        <v>0</v>
      </c>
      <c r="AB119" s="161">
        <f t="shared" si="162"/>
        <v>0</v>
      </c>
      <c r="AC119" s="161">
        <f t="shared" si="162"/>
        <v>0</v>
      </c>
      <c r="AD119" s="161">
        <f t="shared" si="162"/>
        <v>0</v>
      </c>
      <c r="AE119" s="161">
        <f t="shared" si="162"/>
        <v>0</v>
      </c>
      <c r="AF119" s="161">
        <f t="shared" si="143"/>
        <v>17953833</v>
      </c>
      <c r="AG119" s="169"/>
      <c r="AH119" s="104" t="s">
        <v>1067</v>
      </c>
      <c r="AI119" s="158" t="s">
        <v>828</v>
      </c>
      <c r="AJ119" s="170" t="e">
        <f t="shared" si="144"/>
        <v>#DIV/0!</v>
      </c>
      <c r="AK119" s="170" t="e">
        <f t="shared" si="130"/>
        <v>#DIV/0!</v>
      </c>
      <c r="AL119" s="170" t="e">
        <f t="shared" si="131"/>
        <v>#DIV/0!</v>
      </c>
      <c r="AM119" s="170" t="e">
        <f t="shared" si="132"/>
        <v>#DIV/0!</v>
      </c>
      <c r="AN119" s="170" t="e">
        <f t="shared" si="133"/>
        <v>#DIV/0!</v>
      </c>
      <c r="AO119" s="170" t="e">
        <f t="shared" si="134"/>
        <v>#DIV/0!</v>
      </c>
      <c r="AP119" s="170" t="e">
        <f t="shared" si="135"/>
        <v>#DIV/0!</v>
      </c>
      <c r="AQ119" s="170" t="e">
        <f t="shared" si="136"/>
        <v>#DIV/0!</v>
      </c>
      <c r="AR119" s="170" t="e">
        <f t="shared" si="137"/>
        <v>#DIV/0!</v>
      </c>
      <c r="AS119" s="170" t="e">
        <f t="shared" si="138"/>
        <v>#DIV/0!</v>
      </c>
      <c r="AT119" s="170" t="e">
        <f t="shared" si="139"/>
        <v>#DIV/0!</v>
      </c>
      <c r="AU119" s="170" t="e">
        <f t="shared" si="140"/>
        <v>#DIV/0!</v>
      </c>
      <c r="AV119" s="170" t="e">
        <f t="shared" si="141"/>
        <v>#DIV/0!</v>
      </c>
      <c r="AX119" s="104" t="s">
        <v>1067</v>
      </c>
      <c r="AY119" s="104" t="s">
        <v>828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32">
        <f t="shared" si="107"/>
        <v>0</v>
      </c>
    </row>
    <row r="120" spans="1:59" x14ac:dyDescent="0.25">
      <c r="A120" s="30" t="s">
        <v>1068</v>
      </c>
      <c r="B120" s="31" t="s">
        <v>829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9"/>
      <c r="R120" s="104"/>
      <c r="S120" s="158"/>
      <c r="T120" s="161"/>
      <c r="U120" s="161">
        <v>0</v>
      </c>
      <c r="V120" s="161">
        <v>0</v>
      </c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9"/>
      <c r="AH120" s="104"/>
      <c r="AI120" s="158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X120" s="104" t="s">
        <v>1068</v>
      </c>
      <c r="AY120" s="104" t="s">
        <v>829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32">
        <f t="shared" si="107"/>
        <v>0</v>
      </c>
    </row>
    <row r="121" spans="1:59" x14ac:dyDescent="0.25">
      <c r="A121" s="30" t="s">
        <v>1069</v>
      </c>
      <c r="B121" s="31" t="s">
        <v>830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9"/>
      <c r="R121" s="104"/>
      <c r="S121" s="158"/>
      <c r="T121" s="161"/>
      <c r="U121" s="161">
        <v>0</v>
      </c>
      <c r="V121" s="161">
        <v>0</v>
      </c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9"/>
      <c r="AH121" s="104"/>
      <c r="AI121" s="158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X121" s="104" t="s">
        <v>1069</v>
      </c>
      <c r="AY121" s="104" t="s">
        <v>830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32">
        <f t="shared" si="107"/>
        <v>0</v>
      </c>
    </row>
    <row r="122" spans="1:59" x14ac:dyDescent="0.25">
      <c r="A122" s="30" t="s">
        <v>1070</v>
      </c>
      <c r="B122" s="31" t="s">
        <v>831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9"/>
      <c r="R122" s="104"/>
      <c r="S122" s="158"/>
      <c r="T122" s="161"/>
      <c r="U122" s="161">
        <v>0</v>
      </c>
      <c r="V122" s="161">
        <v>0</v>
      </c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9"/>
      <c r="AH122" s="104"/>
      <c r="AI122" s="158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X122" s="106" t="s">
        <v>1070</v>
      </c>
      <c r="AY122" s="106" t="s">
        <v>831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32">
        <f t="shared" si="107"/>
        <v>0</v>
      </c>
    </row>
    <row r="123" spans="1:59" x14ac:dyDescent="0.25">
      <c r="A123" s="145" t="s">
        <v>1071</v>
      </c>
      <c r="B123" s="146" t="s">
        <v>831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>
        <f t="shared" si="122"/>
        <v>0</v>
      </c>
      <c r="P123" s="147"/>
      <c r="Q123" s="168"/>
      <c r="R123" s="99"/>
      <c r="S123" s="154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8"/>
      <c r="AH123" s="99"/>
      <c r="AI123" s="154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X123" s="108" t="s">
        <v>1071</v>
      </c>
      <c r="AY123" s="108" t="s">
        <v>831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32">
        <f t="shared" si="107"/>
        <v>0</v>
      </c>
    </row>
    <row r="124" spans="1:59" x14ac:dyDescent="0.25">
      <c r="A124" s="30">
        <v>2082</v>
      </c>
      <c r="B124" s="31" t="s">
        <v>832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9"/>
      <c r="R124" s="104" t="s">
        <v>1072</v>
      </c>
      <c r="S124" s="158" t="s">
        <v>832</v>
      </c>
      <c r="T124" s="161">
        <f>+T125</f>
        <v>17953833</v>
      </c>
      <c r="U124" s="161">
        <f t="shared" ref="U124:V127" si="167">+U125</f>
        <v>0</v>
      </c>
      <c r="V124" s="161">
        <f t="shared" si="167"/>
        <v>0</v>
      </c>
      <c r="W124" s="161">
        <f t="shared" ref="W124:AE124" si="168">+W125</f>
        <v>0</v>
      </c>
      <c r="X124" s="161">
        <f t="shared" si="168"/>
        <v>0</v>
      </c>
      <c r="Y124" s="161">
        <f t="shared" si="168"/>
        <v>0</v>
      </c>
      <c r="Z124" s="161">
        <f t="shared" si="168"/>
        <v>0</v>
      </c>
      <c r="AA124" s="161">
        <f t="shared" si="168"/>
        <v>0</v>
      </c>
      <c r="AB124" s="161">
        <f t="shared" si="168"/>
        <v>0</v>
      </c>
      <c r="AC124" s="161">
        <f t="shared" si="168"/>
        <v>0</v>
      </c>
      <c r="AD124" s="161">
        <f t="shared" si="168"/>
        <v>0</v>
      </c>
      <c r="AE124" s="161">
        <f t="shared" si="168"/>
        <v>0</v>
      </c>
      <c r="AF124" s="161">
        <f t="shared" si="143"/>
        <v>17953833</v>
      </c>
      <c r="AG124" s="169"/>
      <c r="AH124" s="104" t="s">
        <v>1072</v>
      </c>
      <c r="AI124" s="158" t="s">
        <v>832</v>
      </c>
      <c r="AJ124" s="170" t="e">
        <f t="shared" si="144"/>
        <v>#DIV/0!</v>
      </c>
      <c r="AK124" s="170" t="e">
        <f t="shared" si="130"/>
        <v>#DIV/0!</v>
      </c>
      <c r="AL124" s="170" t="e">
        <f t="shared" si="131"/>
        <v>#DIV/0!</v>
      </c>
      <c r="AM124" s="170" t="e">
        <f t="shared" si="132"/>
        <v>#DIV/0!</v>
      </c>
      <c r="AN124" s="170" t="e">
        <f t="shared" si="133"/>
        <v>#DIV/0!</v>
      </c>
      <c r="AO124" s="170" t="e">
        <f t="shared" si="134"/>
        <v>#DIV/0!</v>
      </c>
      <c r="AP124" s="170" t="e">
        <f t="shared" si="135"/>
        <v>#DIV/0!</v>
      </c>
      <c r="AQ124" s="170" t="e">
        <f t="shared" si="136"/>
        <v>#DIV/0!</v>
      </c>
      <c r="AR124" s="170" t="e">
        <f t="shared" si="137"/>
        <v>#DIV/0!</v>
      </c>
      <c r="AS124" s="170" t="e">
        <f t="shared" si="138"/>
        <v>#DIV/0!</v>
      </c>
      <c r="AT124" s="170" t="e">
        <f t="shared" si="139"/>
        <v>#DIV/0!</v>
      </c>
      <c r="AU124" s="170" t="e">
        <f t="shared" si="140"/>
        <v>#DIV/0!</v>
      </c>
      <c r="AV124" s="170" t="e">
        <f t="shared" si="141"/>
        <v>#DIV/0!</v>
      </c>
      <c r="AX124" s="104" t="s">
        <v>1072</v>
      </c>
      <c r="AY124" s="104" t="s">
        <v>832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32">
        <f t="shared" si="107"/>
        <v>0</v>
      </c>
    </row>
    <row r="125" spans="1:59" x14ac:dyDescent="0.25">
      <c r="A125" s="35">
        <v>208201</v>
      </c>
      <c r="B125" s="36" t="s">
        <v>832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9"/>
      <c r="R125" s="104" t="s">
        <v>1073</v>
      </c>
      <c r="S125" s="158" t="s">
        <v>832</v>
      </c>
      <c r="T125" s="161">
        <f>+T126</f>
        <v>17953833</v>
      </c>
      <c r="U125" s="161">
        <f t="shared" si="167"/>
        <v>0</v>
      </c>
      <c r="V125" s="161">
        <f t="shared" si="167"/>
        <v>0</v>
      </c>
      <c r="W125" s="161">
        <f t="shared" ref="W125:AE127" si="170">+W126</f>
        <v>0</v>
      </c>
      <c r="X125" s="161">
        <f t="shared" si="170"/>
        <v>0</v>
      </c>
      <c r="Y125" s="161">
        <f t="shared" si="170"/>
        <v>0</v>
      </c>
      <c r="Z125" s="161">
        <f t="shared" si="170"/>
        <v>0</v>
      </c>
      <c r="AA125" s="161">
        <f t="shared" si="170"/>
        <v>0</v>
      </c>
      <c r="AB125" s="161">
        <f t="shared" si="170"/>
        <v>0</v>
      </c>
      <c r="AC125" s="161">
        <f t="shared" si="170"/>
        <v>0</v>
      </c>
      <c r="AD125" s="161">
        <f t="shared" si="170"/>
        <v>0</v>
      </c>
      <c r="AE125" s="161">
        <f t="shared" si="170"/>
        <v>0</v>
      </c>
      <c r="AF125" s="161">
        <f t="shared" si="143"/>
        <v>17953833</v>
      </c>
      <c r="AG125" s="169"/>
      <c r="AH125" s="104" t="s">
        <v>1073</v>
      </c>
      <c r="AI125" s="158" t="s">
        <v>832</v>
      </c>
      <c r="AJ125" s="170" t="e">
        <f t="shared" si="144"/>
        <v>#DIV/0!</v>
      </c>
      <c r="AK125" s="170" t="e">
        <f t="shared" si="130"/>
        <v>#DIV/0!</v>
      </c>
      <c r="AL125" s="170" t="e">
        <f t="shared" si="131"/>
        <v>#DIV/0!</v>
      </c>
      <c r="AM125" s="170" t="e">
        <f t="shared" si="132"/>
        <v>#DIV/0!</v>
      </c>
      <c r="AN125" s="170" t="e">
        <f t="shared" si="133"/>
        <v>#DIV/0!</v>
      </c>
      <c r="AO125" s="170" t="e">
        <f t="shared" si="134"/>
        <v>#DIV/0!</v>
      </c>
      <c r="AP125" s="170" t="e">
        <f t="shared" si="135"/>
        <v>#DIV/0!</v>
      </c>
      <c r="AQ125" s="170" t="e">
        <f t="shared" si="136"/>
        <v>#DIV/0!</v>
      </c>
      <c r="AR125" s="170" t="e">
        <f t="shared" si="137"/>
        <v>#DIV/0!</v>
      </c>
      <c r="AS125" s="170" t="e">
        <f t="shared" si="138"/>
        <v>#DIV/0!</v>
      </c>
      <c r="AT125" s="170" t="e">
        <f t="shared" si="139"/>
        <v>#DIV/0!</v>
      </c>
      <c r="AU125" s="170" t="e">
        <f t="shared" si="140"/>
        <v>#DIV/0!</v>
      </c>
      <c r="AV125" s="170" t="e">
        <f t="shared" si="141"/>
        <v>#DIV/0!</v>
      </c>
      <c r="AX125" s="104" t="s">
        <v>1073</v>
      </c>
      <c r="AY125" s="104" t="s">
        <v>832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32">
        <f t="shared" si="107"/>
        <v>0</v>
      </c>
    </row>
    <row r="126" spans="1:59" x14ac:dyDescent="0.25">
      <c r="A126" s="35">
        <v>20820101</v>
      </c>
      <c r="B126" s="36" t="s">
        <v>832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9"/>
      <c r="R126" s="104" t="s">
        <v>1074</v>
      </c>
      <c r="S126" s="158" t="s">
        <v>832</v>
      </c>
      <c r="T126" s="161">
        <f>+T127</f>
        <v>17953833</v>
      </c>
      <c r="U126" s="161">
        <f t="shared" si="167"/>
        <v>0</v>
      </c>
      <c r="V126" s="161">
        <f t="shared" si="167"/>
        <v>0</v>
      </c>
      <c r="W126" s="161">
        <f t="shared" si="170"/>
        <v>0</v>
      </c>
      <c r="X126" s="161">
        <f t="shared" si="170"/>
        <v>0</v>
      </c>
      <c r="Y126" s="161">
        <f t="shared" si="170"/>
        <v>0</v>
      </c>
      <c r="Z126" s="161">
        <f t="shared" si="170"/>
        <v>0</v>
      </c>
      <c r="AA126" s="161">
        <f t="shared" si="170"/>
        <v>0</v>
      </c>
      <c r="AB126" s="161">
        <f t="shared" si="170"/>
        <v>0</v>
      </c>
      <c r="AC126" s="161">
        <f t="shared" si="170"/>
        <v>0</v>
      </c>
      <c r="AD126" s="161">
        <f t="shared" si="170"/>
        <v>0</v>
      </c>
      <c r="AE126" s="161">
        <f t="shared" si="170"/>
        <v>0</v>
      </c>
      <c r="AF126" s="161">
        <f t="shared" si="143"/>
        <v>17953833</v>
      </c>
      <c r="AG126" s="169"/>
      <c r="AH126" s="104" t="s">
        <v>1074</v>
      </c>
      <c r="AI126" s="158" t="s">
        <v>832</v>
      </c>
      <c r="AJ126" s="170" t="e">
        <f t="shared" si="144"/>
        <v>#DIV/0!</v>
      </c>
      <c r="AK126" s="170" t="e">
        <f t="shared" si="130"/>
        <v>#DIV/0!</v>
      </c>
      <c r="AL126" s="170" t="e">
        <f t="shared" si="131"/>
        <v>#DIV/0!</v>
      </c>
      <c r="AM126" s="170" t="e">
        <f t="shared" si="132"/>
        <v>#DIV/0!</v>
      </c>
      <c r="AN126" s="170" t="e">
        <f t="shared" si="133"/>
        <v>#DIV/0!</v>
      </c>
      <c r="AO126" s="170" t="e">
        <f t="shared" si="134"/>
        <v>#DIV/0!</v>
      </c>
      <c r="AP126" s="170" t="e">
        <f t="shared" si="135"/>
        <v>#DIV/0!</v>
      </c>
      <c r="AQ126" s="170" t="e">
        <f t="shared" si="136"/>
        <v>#DIV/0!</v>
      </c>
      <c r="AR126" s="170" t="e">
        <f t="shared" si="137"/>
        <v>#DIV/0!</v>
      </c>
      <c r="AS126" s="170" t="e">
        <f t="shared" si="138"/>
        <v>#DIV/0!</v>
      </c>
      <c r="AT126" s="170" t="e">
        <f t="shared" si="139"/>
        <v>#DIV/0!</v>
      </c>
      <c r="AU126" s="170" t="e">
        <f t="shared" si="140"/>
        <v>#DIV/0!</v>
      </c>
      <c r="AV126" s="170" t="e">
        <f t="shared" si="141"/>
        <v>#DIV/0!</v>
      </c>
      <c r="AX126" s="104" t="s">
        <v>1074</v>
      </c>
      <c r="AY126" s="104" t="s">
        <v>832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32">
        <f t="shared" si="107"/>
        <v>0</v>
      </c>
    </row>
    <row r="127" spans="1:59" x14ac:dyDescent="0.25">
      <c r="A127" s="35">
        <v>208201011</v>
      </c>
      <c r="B127" s="36" t="s">
        <v>832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9"/>
      <c r="R127" s="106" t="s">
        <v>1075</v>
      </c>
      <c r="S127" s="159" t="s">
        <v>832</v>
      </c>
      <c r="T127" s="161">
        <f>+T128</f>
        <v>17953833</v>
      </c>
      <c r="U127" s="161">
        <f t="shared" si="167"/>
        <v>0</v>
      </c>
      <c r="V127" s="161">
        <f t="shared" si="167"/>
        <v>0</v>
      </c>
      <c r="W127" s="161">
        <f t="shared" si="170"/>
        <v>0</v>
      </c>
      <c r="X127" s="161">
        <f t="shared" si="170"/>
        <v>0</v>
      </c>
      <c r="Y127" s="161">
        <f t="shared" si="170"/>
        <v>0</v>
      </c>
      <c r="Z127" s="161">
        <f t="shared" si="170"/>
        <v>0</v>
      </c>
      <c r="AA127" s="161">
        <f t="shared" si="170"/>
        <v>0</v>
      </c>
      <c r="AB127" s="161">
        <f t="shared" si="170"/>
        <v>0</v>
      </c>
      <c r="AC127" s="161">
        <f t="shared" si="170"/>
        <v>0</v>
      </c>
      <c r="AD127" s="161">
        <f t="shared" si="170"/>
        <v>0</v>
      </c>
      <c r="AE127" s="161">
        <f t="shared" si="170"/>
        <v>0</v>
      </c>
      <c r="AF127" s="161">
        <f t="shared" si="143"/>
        <v>17953833</v>
      </c>
      <c r="AG127" s="169"/>
      <c r="AH127" s="106" t="s">
        <v>1075</v>
      </c>
      <c r="AI127" s="159" t="s">
        <v>832</v>
      </c>
      <c r="AJ127" s="170" t="e">
        <f t="shared" si="144"/>
        <v>#DIV/0!</v>
      </c>
      <c r="AK127" s="170" t="e">
        <f t="shared" si="130"/>
        <v>#DIV/0!</v>
      </c>
      <c r="AL127" s="170" t="e">
        <f t="shared" si="131"/>
        <v>#DIV/0!</v>
      </c>
      <c r="AM127" s="170" t="e">
        <f t="shared" si="132"/>
        <v>#DIV/0!</v>
      </c>
      <c r="AN127" s="170" t="e">
        <f t="shared" si="133"/>
        <v>#DIV/0!</v>
      </c>
      <c r="AO127" s="170" t="e">
        <f t="shared" si="134"/>
        <v>#DIV/0!</v>
      </c>
      <c r="AP127" s="170" t="e">
        <f t="shared" si="135"/>
        <v>#DIV/0!</v>
      </c>
      <c r="AQ127" s="170" t="e">
        <f t="shared" si="136"/>
        <v>#DIV/0!</v>
      </c>
      <c r="AR127" s="170" t="e">
        <f t="shared" si="137"/>
        <v>#DIV/0!</v>
      </c>
      <c r="AS127" s="170" t="e">
        <f t="shared" si="138"/>
        <v>#DIV/0!</v>
      </c>
      <c r="AT127" s="170" t="e">
        <f t="shared" si="139"/>
        <v>#DIV/0!</v>
      </c>
      <c r="AU127" s="170" t="e">
        <f t="shared" si="140"/>
        <v>#DIV/0!</v>
      </c>
      <c r="AV127" s="170" t="e">
        <f t="shared" si="141"/>
        <v>#DIV/0!</v>
      </c>
      <c r="AX127" s="106" t="s">
        <v>1075</v>
      </c>
      <c r="AY127" s="106" t="s">
        <v>832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32">
        <f t="shared" si="107"/>
        <v>0</v>
      </c>
    </row>
    <row r="128" spans="1:59" x14ac:dyDescent="0.25">
      <c r="A128" s="37">
        <v>20820101101</v>
      </c>
      <c r="B128" s="38" t="s">
        <v>832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8"/>
      <c r="R128" s="20" t="s">
        <v>1076</v>
      </c>
      <c r="S128" s="160" t="s">
        <v>832</v>
      </c>
      <c r="T128" s="162">
        <v>17953833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>
        <f t="shared" si="143"/>
        <v>17953833</v>
      </c>
      <c r="AG128" s="168"/>
      <c r="AH128" s="20" t="s">
        <v>1076</v>
      </c>
      <c r="AI128" s="160" t="s">
        <v>832</v>
      </c>
      <c r="AJ128" s="171" t="e">
        <f t="shared" si="144"/>
        <v>#DIV/0!</v>
      </c>
      <c r="AK128" s="171" t="e">
        <f t="shared" si="130"/>
        <v>#DIV/0!</v>
      </c>
      <c r="AL128" s="171" t="e">
        <f t="shared" si="131"/>
        <v>#DIV/0!</v>
      </c>
      <c r="AM128" s="171" t="e">
        <f t="shared" si="132"/>
        <v>#DIV/0!</v>
      </c>
      <c r="AN128" s="171" t="e">
        <f t="shared" si="133"/>
        <v>#DIV/0!</v>
      </c>
      <c r="AO128" s="171" t="e">
        <f t="shared" si="134"/>
        <v>#DIV/0!</v>
      </c>
      <c r="AP128" s="171" t="e">
        <f t="shared" si="135"/>
        <v>#DIV/0!</v>
      </c>
      <c r="AQ128" s="171" t="e">
        <f t="shared" si="136"/>
        <v>#DIV/0!</v>
      </c>
      <c r="AR128" s="171" t="e">
        <f t="shared" si="137"/>
        <v>#DIV/0!</v>
      </c>
      <c r="AS128" s="171" t="e">
        <f t="shared" si="138"/>
        <v>#DIV/0!</v>
      </c>
      <c r="AT128" s="171" t="e">
        <f t="shared" si="139"/>
        <v>#DIV/0!</v>
      </c>
      <c r="AU128" s="171" t="e">
        <f t="shared" si="140"/>
        <v>#DIV/0!</v>
      </c>
      <c r="AV128" s="171" t="e">
        <f t="shared" si="141"/>
        <v>#DIV/0!</v>
      </c>
      <c r="AX128" s="183" t="s">
        <v>1076</v>
      </c>
      <c r="AY128" s="183" t="s">
        <v>832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32">
        <f t="shared" si="107"/>
        <v>0</v>
      </c>
    </row>
    <row r="129" spans="1:59" x14ac:dyDescent="0.25">
      <c r="A129" s="30">
        <v>210</v>
      </c>
      <c r="B129" s="31" t="s">
        <v>833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9"/>
      <c r="R129" s="104">
        <v>210</v>
      </c>
      <c r="S129" s="158" t="s">
        <v>833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61">
        <f t="shared" ref="W129:AE129" si="173">+W130</f>
        <v>0</v>
      </c>
      <c r="X129" s="161">
        <f t="shared" si="173"/>
        <v>0</v>
      </c>
      <c r="Y129" s="161">
        <f t="shared" si="173"/>
        <v>0</v>
      </c>
      <c r="Z129" s="161">
        <f t="shared" si="173"/>
        <v>0</v>
      </c>
      <c r="AA129" s="161">
        <f t="shared" si="173"/>
        <v>0</v>
      </c>
      <c r="AB129" s="161">
        <f t="shared" si="173"/>
        <v>0</v>
      </c>
      <c r="AC129" s="161">
        <f t="shared" si="173"/>
        <v>0</v>
      </c>
      <c r="AD129" s="161">
        <f t="shared" si="173"/>
        <v>0</v>
      </c>
      <c r="AE129" s="161">
        <f t="shared" si="173"/>
        <v>0</v>
      </c>
      <c r="AF129" s="161">
        <f t="shared" si="143"/>
        <v>1759578720</v>
      </c>
      <c r="AG129" s="169"/>
      <c r="AH129" s="104">
        <v>210</v>
      </c>
      <c r="AI129" s="158" t="s">
        <v>833</v>
      </c>
      <c r="AJ129" s="170" t="e">
        <f t="shared" si="144"/>
        <v>#DIV/0!</v>
      </c>
      <c r="AK129" s="170" t="e">
        <f t="shared" si="130"/>
        <v>#DIV/0!</v>
      </c>
      <c r="AL129" s="170" t="e">
        <f t="shared" si="131"/>
        <v>#DIV/0!</v>
      </c>
      <c r="AM129" s="170" t="e">
        <f t="shared" si="132"/>
        <v>#DIV/0!</v>
      </c>
      <c r="AN129" s="170" t="e">
        <f t="shared" si="133"/>
        <v>#DIV/0!</v>
      </c>
      <c r="AO129" s="170" t="e">
        <f t="shared" si="134"/>
        <v>#DIV/0!</v>
      </c>
      <c r="AP129" s="170" t="e">
        <f t="shared" si="135"/>
        <v>#DIV/0!</v>
      </c>
      <c r="AQ129" s="170" t="e">
        <f t="shared" si="136"/>
        <v>#DIV/0!</v>
      </c>
      <c r="AR129" s="170" t="e">
        <f t="shared" si="137"/>
        <v>#DIV/0!</v>
      </c>
      <c r="AS129" s="170" t="e">
        <f t="shared" si="138"/>
        <v>#DIV/0!</v>
      </c>
      <c r="AT129" s="170" t="e">
        <f t="shared" si="139"/>
        <v>#DIV/0!</v>
      </c>
      <c r="AU129" s="170" t="e">
        <f t="shared" si="140"/>
        <v>#DIV/0!</v>
      </c>
      <c r="AV129" s="170" t="e">
        <f t="shared" si="141"/>
        <v>#DIV/0!</v>
      </c>
      <c r="AX129" s="104">
        <v>210</v>
      </c>
      <c r="AY129" s="104" t="s">
        <v>833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32">
        <f t="shared" si="107"/>
        <v>15257982038.990002</v>
      </c>
    </row>
    <row r="130" spans="1:59" x14ac:dyDescent="0.25">
      <c r="A130" s="35">
        <v>2101</v>
      </c>
      <c r="B130" s="36" t="s">
        <v>833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9"/>
      <c r="R130" s="104">
        <v>2101</v>
      </c>
      <c r="S130" s="158" t="s">
        <v>833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61">
        <f t="shared" ref="W130:AE132" si="175">+W131</f>
        <v>0</v>
      </c>
      <c r="X130" s="161">
        <f t="shared" si="175"/>
        <v>0</v>
      </c>
      <c r="Y130" s="161">
        <f t="shared" si="175"/>
        <v>0</v>
      </c>
      <c r="Z130" s="161">
        <f t="shared" si="175"/>
        <v>0</v>
      </c>
      <c r="AA130" s="161">
        <f t="shared" si="175"/>
        <v>0</v>
      </c>
      <c r="AB130" s="161">
        <f t="shared" si="175"/>
        <v>0</v>
      </c>
      <c r="AC130" s="161">
        <f t="shared" si="175"/>
        <v>0</v>
      </c>
      <c r="AD130" s="161">
        <f t="shared" si="175"/>
        <v>0</v>
      </c>
      <c r="AE130" s="161">
        <f t="shared" si="175"/>
        <v>0</v>
      </c>
      <c r="AF130" s="161">
        <f t="shared" si="143"/>
        <v>1759578720</v>
      </c>
      <c r="AG130" s="169"/>
      <c r="AH130" s="104">
        <v>2101</v>
      </c>
      <c r="AI130" s="158" t="s">
        <v>833</v>
      </c>
      <c r="AJ130" s="170" t="e">
        <f t="shared" si="144"/>
        <v>#DIV/0!</v>
      </c>
      <c r="AK130" s="170" t="e">
        <f t="shared" si="130"/>
        <v>#DIV/0!</v>
      </c>
      <c r="AL130" s="170" t="e">
        <f t="shared" si="131"/>
        <v>#DIV/0!</v>
      </c>
      <c r="AM130" s="170" t="e">
        <f t="shared" si="132"/>
        <v>#DIV/0!</v>
      </c>
      <c r="AN130" s="170" t="e">
        <f t="shared" si="133"/>
        <v>#DIV/0!</v>
      </c>
      <c r="AO130" s="170" t="e">
        <f t="shared" si="134"/>
        <v>#DIV/0!</v>
      </c>
      <c r="AP130" s="170" t="e">
        <f t="shared" si="135"/>
        <v>#DIV/0!</v>
      </c>
      <c r="AQ130" s="170" t="e">
        <f t="shared" si="136"/>
        <v>#DIV/0!</v>
      </c>
      <c r="AR130" s="170" t="e">
        <f t="shared" si="137"/>
        <v>#DIV/0!</v>
      </c>
      <c r="AS130" s="170" t="e">
        <f t="shared" si="138"/>
        <v>#DIV/0!</v>
      </c>
      <c r="AT130" s="170" t="e">
        <f t="shared" si="139"/>
        <v>#DIV/0!</v>
      </c>
      <c r="AU130" s="170" t="e">
        <f t="shared" si="140"/>
        <v>#DIV/0!</v>
      </c>
      <c r="AV130" s="170" t="e">
        <f t="shared" si="141"/>
        <v>#DIV/0!</v>
      </c>
      <c r="AX130" s="104">
        <v>2101</v>
      </c>
      <c r="AY130" s="104" t="s">
        <v>833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32">
        <f t="shared" si="107"/>
        <v>15257982038.990002</v>
      </c>
    </row>
    <row r="131" spans="1:59" x14ac:dyDescent="0.25">
      <c r="A131" s="35">
        <v>210101</v>
      </c>
      <c r="B131" s="36" t="s">
        <v>833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9"/>
      <c r="R131" s="104">
        <v>210101</v>
      </c>
      <c r="S131" s="158" t="s">
        <v>833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61">
        <f t="shared" si="175"/>
        <v>0</v>
      </c>
      <c r="X131" s="161">
        <f t="shared" si="175"/>
        <v>0</v>
      </c>
      <c r="Y131" s="161">
        <f t="shared" si="175"/>
        <v>0</v>
      </c>
      <c r="Z131" s="161">
        <f t="shared" si="175"/>
        <v>0</v>
      </c>
      <c r="AA131" s="161">
        <f t="shared" si="175"/>
        <v>0</v>
      </c>
      <c r="AB131" s="161">
        <f t="shared" si="175"/>
        <v>0</v>
      </c>
      <c r="AC131" s="161">
        <f t="shared" si="175"/>
        <v>0</v>
      </c>
      <c r="AD131" s="161">
        <f t="shared" si="175"/>
        <v>0</v>
      </c>
      <c r="AE131" s="161">
        <f t="shared" si="175"/>
        <v>0</v>
      </c>
      <c r="AF131" s="161">
        <f t="shared" si="143"/>
        <v>1759578720</v>
      </c>
      <c r="AG131" s="169"/>
      <c r="AH131" s="104">
        <v>210101</v>
      </c>
      <c r="AI131" s="158" t="s">
        <v>833</v>
      </c>
      <c r="AJ131" s="170" t="e">
        <f t="shared" si="144"/>
        <v>#DIV/0!</v>
      </c>
      <c r="AK131" s="170" t="e">
        <f t="shared" si="130"/>
        <v>#DIV/0!</v>
      </c>
      <c r="AL131" s="170" t="e">
        <f t="shared" si="131"/>
        <v>#DIV/0!</v>
      </c>
      <c r="AM131" s="170" t="e">
        <f t="shared" si="132"/>
        <v>#DIV/0!</v>
      </c>
      <c r="AN131" s="170" t="e">
        <f t="shared" si="133"/>
        <v>#DIV/0!</v>
      </c>
      <c r="AO131" s="170" t="e">
        <f t="shared" si="134"/>
        <v>#DIV/0!</v>
      </c>
      <c r="AP131" s="170" t="e">
        <f t="shared" si="135"/>
        <v>#DIV/0!</v>
      </c>
      <c r="AQ131" s="170" t="e">
        <f t="shared" si="136"/>
        <v>#DIV/0!</v>
      </c>
      <c r="AR131" s="170" t="e">
        <f t="shared" si="137"/>
        <v>#DIV/0!</v>
      </c>
      <c r="AS131" s="170" t="e">
        <f t="shared" si="138"/>
        <v>#DIV/0!</v>
      </c>
      <c r="AT131" s="170" t="e">
        <f t="shared" si="139"/>
        <v>#DIV/0!</v>
      </c>
      <c r="AU131" s="170" t="e">
        <f t="shared" si="140"/>
        <v>#DIV/0!</v>
      </c>
      <c r="AV131" s="170" t="e">
        <f t="shared" si="141"/>
        <v>#DIV/0!</v>
      </c>
      <c r="AX131" s="104">
        <v>210101</v>
      </c>
      <c r="AY131" s="104" t="s">
        <v>833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32">
        <f t="shared" si="107"/>
        <v>15257982038.990002</v>
      </c>
    </row>
    <row r="132" spans="1:59" x14ac:dyDescent="0.25">
      <c r="A132" s="35">
        <v>21010101</v>
      </c>
      <c r="B132" s="36" t="s">
        <v>833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9"/>
      <c r="R132" s="106">
        <v>2101011</v>
      </c>
      <c r="S132" s="159" t="s">
        <v>833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61">
        <f t="shared" si="175"/>
        <v>0</v>
      </c>
      <c r="X132" s="161">
        <f t="shared" si="175"/>
        <v>0</v>
      </c>
      <c r="Y132" s="161">
        <f t="shared" si="175"/>
        <v>0</v>
      </c>
      <c r="Z132" s="161">
        <f t="shared" si="175"/>
        <v>0</v>
      </c>
      <c r="AA132" s="161">
        <f t="shared" si="175"/>
        <v>0</v>
      </c>
      <c r="AB132" s="161">
        <f t="shared" si="175"/>
        <v>0</v>
      </c>
      <c r="AC132" s="161">
        <f t="shared" si="175"/>
        <v>0</v>
      </c>
      <c r="AD132" s="161">
        <f t="shared" si="175"/>
        <v>0</v>
      </c>
      <c r="AE132" s="161">
        <f t="shared" si="175"/>
        <v>0</v>
      </c>
      <c r="AF132" s="161">
        <f t="shared" si="143"/>
        <v>1759578720</v>
      </c>
      <c r="AG132" s="169"/>
      <c r="AH132" s="106">
        <v>2101011</v>
      </c>
      <c r="AI132" s="159" t="s">
        <v>833</v>
      </c>
      <c r="AJ132" s="170" t="e">
        <f t="shared" si="144"/>
        <v>#DIV/0!</v>
      </c>
      <c r="AK132" s="170" t="e">
        <f t="shared" si="130"/>
        <v>#DIV/0!</v>
      </c>
      <c r="AL132" s="170" t="e">
        <f t="shared" si="131"/>
        <v>#DIV/0!</v>
      </c>
      <c r="AM132" s="170" t="e">
        <f t="shared" si="132"/>
        <v>#DIV/0!</v>
      </c>
      <c r="AN132" s="170" t="e">
        <f t="shared" si="133"/>
        <v>#DIV/0!</v>
      </c>
      <c r="AO132" s="170" t="e">
        <f t="shared" si="134"/>
        <v>#DIV/0!</v>
      </c>
      <c r="AP132" s="170" t="e">
        <f t="shared" si="135"/>
        <v>#DIV/0!</v>
      </c>
      <c r="AQ132" s="170" t="e">
        <f t="shared" si="136"/>
        <v>#DIV/0!</v>
      </c>
      <c r="AR132" s="170" t="e">
        <f t="shared" si="137"/>
        <v>#DIV/0!</v>
      </c>
      <c r="AS132" s="170" t="e">
        <f t="shared" si="138"/>
        <v>#DIV/0!</v>
      </c>
      <c r="AT132" s="170" t="e">
        <f t="shared" si="139"/>
        <v>#DIV/0!</v>
      </c>
      <c r="AU132" s="170" t="e">
        <f t="shared" si="140"/>
        <v>#DIV/0!</v>
      </c>
      <c r="AV132" s="170" t="e">
        <f t="shared" si="141"/>
        <v>#DIV/0!</v>
      </c>
      <c r="AX132" s="106">
        <v>2101011</v>
      </c>
      <c r="AY132" s="106" t="s">
        <v>833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32">
        <f t="shared" si="107"/>
        <v>15257982038.990002</v>
      </c>
    </row>
    <row r="133" spans="1:59" x14ac:dyDescent="0.25">
      <c r="A133" s="37">
        <v>210101011</v>
      </c>
      <c r="B133" s="38" t="s">
        <v>833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8"/>
      <c r="R133" s="104">
        <v>210101101</v>
      </c>
      <c r="S133" s="158" t="s">
        <v>833</v>
      </c>
      <c r="T133" s="162">
        <v>1759578720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>
        <f t="shared" si="143"/>
        <v>1759578720</v>
      </c>
      <c r="AG133" s="168"/>
      <c r="AH133" s="104">
        <v>210101101</v>
      </c>
      <c r="AI133" s="158" t="s">
        <v>833</v>
      </c>
      <c r="AJ133" s="171" t="e">
        <f t="shared" si="144"/>
        <v>#DIV/0!</v>
      </c>
      <c r="AK133" s="171" t="e">
        <f t="shared" si="130"/>
        <v>#DIV/0!</v>
      </c>
      <c r="AL133" s="171" t="e">
        <f t="shared" si="131"/>
        <v>#DIV/0!</v>
      </c>
      <c r="AM133" s="171" t="e">
        <f t="shared" si="132"/>
        <v>#DIV/0!</v>
      </c>
      <c r="AN133" s="171" t="e">
        <f t="shared" si="133"/>
        <v>#DIV/0!</v>
      </c>
      <c r="AO133" s="171" t="e">
        <f t="shared" si="134"/>
        <v>#DIV/0!</v>
      </c>
      <c r="AP133" s="171" t="e">
        <f t="shared" si="135"/>
        <v>#DIV/0!</v>
      </c>
      <c r="AQ133" s="171" t="e">
        <f t="shared" si="136"/>
        <v>#DIV/0!</v>
      </c>
      <c r="AR133" s="171" t="e">
        <f t="shared" si="137"/>
        <v>#DIV/0!</v>
      </c>
      <c r="AS133" s="171" t="e">
        <f t="shared" si="138"/>
        <v>#DIV/0!</v>
      </c>
      <c r="AT133" s="171" t="e">
        <f t="shared" si="139"/>
        <v>#DIV/0!</v>
      </c>
      <c r="AU133" s="171" t="e">
        <f t="shared" si="140"/>
        <v>#DIV/0!</v>
      </c>
      <c r="AV133" s="171" t="e">
        <f t="shared" si="141"/>
        <v>#DIV/0!</v>
      </c>
      <c r="AX133" s="110">
        <v>210101101</v>
      </c>
      <c r="AY133" s="110" t="s">
        <v>833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32">
        <f t="shared" si="107"/>
        <v>15257982038.990002</v>
      </c>
    </row>
    <row r="134" spans="1:59" x14ac:dyDescent="0.25">
      <c r="A134" s="30">
        <v>212</v>
      </c>
      <c r="B134" s="31" t="s">
        <v>834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8"/>
      <c r="R134" s="104">
        <v>212</v>
      </c>
      <c r="S134" s="158" t="s">
        <v>834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61">
        <f t="shared" ref="W134:AE134" si="178">+W135</f>
        <v>0</v>
      </c>
      <c r="X134" s="161">
        <f t="shared" si="178"/>
        <v>0</v>
      </c>
      <c r="Y134" s="161">
        <f t="shared" si="178"/>
        <v>0</v>
      </c>
      <c r="Z134" s="161">
        <f t="shared" si="178"/>
        <v>0</v>
      </c>
      <c r="AA134" s="161">
        <f t="shared" si="178"/>
        <v>0</v>
      </c>
      <c r="AB134" s="161">
        <f t="shared" si="178"/>
        <v>0</v>
      </c>
      <c r="AC134" s="161">
        <f t="shared" si="178"/>
        <v>0</v>
      </c>
      <c r="AD134" s="161">
        <f t="shared" si="178"/>
        <v>0</v>
      </c>
      <c r="AE134" s="161">
        <f t="shared" si="178"/>
        <v>0</v>
      </c>
      <c r="AF134" s="161">
        <f t="shared" si="143"/>
        <v>2072750058</v>
      </c>
      <c r="AG134" s="168"/>
      <c r="AH134" s="104">
        <v>212</v>
      </c>
      <c r="AI134" s="158" t="s">
        <v>834</v>
      </c>
      <c r="AJ134" s="170">
        <f t="shared" si="144"/>
        <v>8.6402515477386928</v>
      </c>
      <c r="AK134" s="170" t="e">
        <f t="shared" si="130"/>
        <v>#DIV/0!</v>
      </c>
      <c r="AL134" s="170" t="e">
        <f t="shared" si="131"/>
        <v>#DIV/0!</v>
      </c>
      <c r="AM134" s="170" t="e">
        <f t="shared" si="132"/>
        <v>#DIV/0!</v>
      </c>
      <c r="AN134" s="170" t="e">
        <f t="shared" si="133"/>
        <v>#DIV/0!</v>
      </c>
      <c r="AO134" s="170" t="e">
        <f t="shared" si="134"/>
        <v>#DIV/0!</v>
      </c>
      <c r="AP134" s="170" t="e">
        <f t="shared" si="135"/>
        <v>#DIV/0!</v>
      </c>
      <c r="AQ134" s="170" t="e">
        <f t="shared" si="136"/>
        <v>#DIV/0!</v>
      </c>
      <c r="AR134" s="170" t="e">
        <f t="shared" si="137"/>
        <v>#DIV/0!</v>
      </c>
      <c r="AS134" s="170" t="e">
        <f t="shared" si="138"/>
        <v>#DIV/0!</v>
      </c>
      <c r="AT134" s="170" t="e">
        <f t="shared" si="139"/>
        <v>#DIV/0!</v>
      </c>
      <c r="AU134" s="170" t="e">
        <f t="shared" si="140"/>
        <v>#DIV/0!</v>
      </c>
      <c r="AV134" s="170">
        <f t="shared" si="141"/>
        <v>9.4158294371859288</v>
      </c>
      <c r="AX134" s="104">
        <v>212</v>
      </c>
      <c r="AY134" s="104" t="s">
        <v>834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32">
        <f t="shared" ref="BG134:BG148" si="180">+BF134-AF134</f>
        <v>-972805029</v>
      </c>
    </row>
    <row r="135" spans="1:59" x14ac:dyDescent="0.25">
      <c r="A135" s="35">
        <v>2124</v>
      </c>
      <c r="B135" s="36" t="s">
        <v>834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9"/>
      <c r="R135" s="104">
        <v>2124</v>
      </c>
      <c r="S135" s="158" t="s">
        <v>834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61">
        <f t="shared" ref="W135:AE137" si="181">+W136</f>
        <v>0</v>
      </c>
      <c r="X135" s="161">
        <f t="shared" si="181"/>
        <v>0</v>
      </c>
      <c r="Y135" s="161">
        <f t="shared" si="181"/>
        <v>0</v>
      </c>
      <c r="Z135" s="161">
        <f t="shared" si="181"/>
        <v>0</v>
      </c>
      <c r="AA135" s="161">
        <f t="shared" si="181"/>
        <v>0</v>
      </c>
      <c r="AB135" s="161">
        <f t="shared" si="181"/>
        <v>0</v>
      </c>
      <c r="AC135" s="161">
        <f t="shared" si="181"/>
        <v>0</v>
      </c>
      <c r="AD135" s="161">
        <f t="shared" si="181"/>
        <v>0</v>
      </c>
      <c r="AE135" s="161">
        <f t="shared" si="181"/>
        <v>0</v>
      </c>
      <c r="AF135" s="161">
        <f t="shared" si="143"/>
        <v>2072750058</v>
      </c>
      <c r="AG135" s="169"/>
      <c r="AH135" s="104">
        <v>2124</v>
      </c>
      <c r="AI135" s="158" t="s">
        <v>834</v>
      </c>
      <c r="AJ135" s="170">
        <f t="shared" si="144"/>
        <v>8.6402515477386928</v>
      </c>
      <c r="AK135" s="170" t="e">
        <f t="shared" si="130"/>
        <v>#DIV/0!</v>
      </c>
      <c r="AL135" s="170" t="e">
        <f t="shared" si="131"/>
        <v>#DIV/0!</v>
      </c>
      <c r="AM135" s="170" t="e">
        <f t="shared" si="132"/>
        <v>#DIV/0!</v>
      </c>
      <c r="AN135" s="170" t="e">
        <f t="shared" si="133"/>
        <v>#DIV/0!</v>
      </c>
      <c r="AO135" s="170" t="e">
        <f t="shared" si="134"/>
        <v>#DIV/0!</v>
      </c>
      <c r="AP135" s="170" t="e">
        <f t="shared" si="135"/>
        <v>#DIV/0!</v>
      </c>
      <c r="AQ135" s="170" t="e">
        <f t="shared" si="136"/>
        <v>#DIV/0!</v>
      </c>
      <c r="AR135" s="170" t="e">
        <f t="shared" si="137"/>
        <v>#DIV/0!</v>
      </c>
      <c r="AS135" s="170" t="e">
        <f t="shared" si="138"/>
        <v>#DIV/0!</v>
      </c>
      <c r="AT135" s="170" t="e">
        <f t="shared" si="139"/>
        <v>#DIV/0!</v>
      </c>
      <c r="AU135" s="170" t="e">
        <f t="shared" si="140"/>
        <v>#DIV/0!</v>
      </c>
      <c r="AV135" s="170">
        <f t="shared" si="141"/>
        <v>9.4158294371859288</v>
      </c>
      <c r="AX135" s="104">
        <v>2124</v>
      </c>
      <c r="AY135" s="104" t="s">
        <v>834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32">
        <f t="shared" si="180"/>
        <v>-972805029</v>
      </c>
    </row>
    <row r="136" spans="1:59" x14ac:dyDescent="0.25">
      <c r="A136" s="35">
        <v>212401</v>
      </c>
      <c r="B136" s="36" t="s">
        <v>834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9"/>
      <c r="R136" s="104">
        <v>212401</v>
      </c>
      <c r="S136" s="158" t="s">
        <v>834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61">
        <f t="shared" si="181"/>
        <v>0</v>
      </c>
      <c r="X136" s="161">
        <f t="shared" si="181"/>
        <v>0</v>
      </c>
      <c r="Y136" s="161">
        <f t="shared" si="181"/>
        <v>0</v>
      </c>
      <c r="Z136" s="161">
        <f t="shared" si="181"/>
        <v>0</v>
      </c>
      <c r="AA136" s="161">
        <f t="shared" si="181"/>
        <v>0</v>
      </c>
      <c r="AB136" s="161">
        <f t="shared" si="181"/>
        <v>0</v>
      </c>
      <c r="AC136" s="161">
        <f t="shared" si="181"/>
        <v>0</v>
      </c>
      <c r="AD136" s="161">
        <f t="shared" si="181"/>
        <v>0</v>
      </c>
      <c r="AE136" s="161">
        <f t="shared" si="181"/>
        <v>0</v>
      </c>
      <c r="AF136" s="161">
        <f t="shared" si="143"/>
        <v>2072750058</v>
      </c>
      <c r="AG136" s="169"/>
      <c r="AH136" s="104">
        <v>212401</v>
      </c>
      <c r="AI136" s="158" t="s">
        <v>834</v>
      </c>
      <c r="AJ136" s="170">
        <f t="shared" si="144"/>
        <v>8.6402515477386928</v>
      </c>
      <c r="AK136" s="170" t="e">
        <f t="shared" si="130"/>
        <v>#DIV/0!</v>
      </c>
      <c r="AL136" s="170" t="e">
        <f t="shared" si="131"/>
        <v>#DIV/0!</v>
      </c>
      <c r="AM136" s="170" t="e">
        <f t="shared" si="132"/>
        <v>#DIV/0!</v>
      </c>
      <c r="AN136" s="170" t="e">
        <f t="shared" si="133"/>
        <v>#DIV/0!</v>
      </c>
      <c r="AO136" s="170" t="e">
        <f t="shared" si="134"/>
        <v>#DIV/0!</v>
      </c>
      <c r="AP136" s="170" t="e">
        <f t="shared" si="135"/>
        <v>#DIV/0!</v>
      </c>
      <c r="AQ136" s="170" t="e">
        <f t="shared" si="136"/>
        <v>#DIV/0!</v>
      </c>
      <c r="AR136" s="170" t="e">
        <f t="shared" si="137"/>
        <v>#DIV/0!</v>
      </c>
      <c r="AS136" s="170" t="e">
        <f t="shared" si="138"/>
        <v>#DIV/0!</v>
      </c>
      <c r="AT136" s="170" t="e">
        <f t="shared" si="139"/>
        <v>#DIV/0!</v>
      </c>
      <c r="AU136" s="170" t="e">
        <f t="shared" si="140"/>
        <v>#DIV/0!</v>
      </c>
      <c r="AV136" s="170">
        <f t="shared" si="141"/>
        <v>9.4158294371859288</v>
      </c>
      <c r="AX136" s="104">
        <v>212401</v>
      </c>
      <c r="AY136" s="104" t="s">
        <v>834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32">
        <f t="shared" si="180"/>
        <v>-972805029</v>
      </c>
    </row>
    <row r="137" spans="1:59" x14ac:dyDescent="0.25">
      <c r="A137" s="35">
        <v>21240101</v>
      </c>
      <c r="B137" s="36" t="s">
        <v>834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9"/>
      <c r="R137" s="104">
        <v>2124011</v>
      </c>
      <c r="S137" s="158" t="s">
        <v>834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61">
        <f t="shared" si="181"/>
        <v>0</v>
      </c>
      <c r="X137" s="161">
        <f t="shared" si="181"/>
        <v>0</v>
      </c>
      <c r="Y137" s="161">
        <f t="shared" si="181"/>
        <v>0</v>
      </c>
      <c r="Z137" s="161">
        <f t="shared" si="181"/>
        <v>0</v>
      </c>
      <c r="AA137" s="161">
        <f t="shared" si="181"/>
        <v>0</v>
      </c>
      <c r="AB137" s="161">
        <f t="shared" si="181"/>
        <v>0</v>
      </c>
      <c r="AC137" s="161">
        <f t="shared" si="181"/>
        <v>0</v>
      </c>
      <c r="AD137" s="161">
        <f t="shared" si="181"/>
        <v>0</v>
      </c>
      <c r="AE137" s="161">
        <f t="shared" si="181"/>
        <v>0</v>
      </c>
      <c r="AF137" s="161">
        <f t="shared" si="143"/>
        <v>2072750058</v>
      </c>
      <c r="AG137" s="169"/>
      <c r="AH137" s="104">
        <v>2124011</v>
      </c>
      <c r="AI137" s="158" t="s">
        <v>834</v>
      </c>
      <c r="AJ137" s="170">
        <f t="shared" si="144"/>
        <v>8.6402515477386928</v>
      </c>
      <c r="AK137" s="170" t="e">
        <f t="shared" si="130"/>
        <v>#DIV/0!</v>
      </c>
      <c r="AL137" s="170" t="e">
        <f t="shared" si="131"/>
        <v>#DIV/0!</v>
      </c>
      <c r="AM137" s="170" t="e">
        <f t="shared" si="132"/>
        <v>#DIV/0!</v>
      </c>
      <c r="AN137" s="170" t="e">
        <f t="shared" si="133"/>
        <v>#DIV/0!</v>
      </c>
      <c r="AO137" s="170" t="e">
        <f t="shared" si="134"/>
        <v>#DIV/0!</v>
      </c>
      <c r="AP137" s="170" t="e">
        <f t="shared" si="135"/>
        <v>#DIV/0!</v>
      </c>
      <c r="AQ137" s="170" t="e">
        <f t="shared" si="136"/>
        <v>#DIV/0!</v>
      </c>
      <c r="AR137" s="170" t="e">
        <f t="shared" si="137"/>
        <v>#DIV/0!</v>
      </c>
      <c r="AS137" s="170" t="e">
        <f t="shared" si="138"/>
        <v>#DIV/0!</v>
      </c>
      <c r="AT137" s="170" t="e">
        <f t="shared" si="139"/>
        <v>#DIV/0!</v>
      </c>
      <c r="AU137" s="170" t="e">
        <f t="shared" si="140"/>
        <v>#DIV/0!</v>
      </c>
      <c r="AV137" s="170">
        <f t="shared" si="141"/>
        <v>9.4158294371859288</v>
      </c>
      <c r="AX137" s="104">
        <v>2124011</v>
      </c>
      <c r="AY137" s="104" t="s">
        <v>834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32">
        <f t="shared" si="180"/>
        <v>-972805029</v>
      </c>
    </row>
    <row r="138" spans="1:59" x14ac:dyDescent="0.25">
      <c r="A138" s="35">
        <v>212401011</v>
      </c>
      <c r="B138" s="36" t="s">
        <v>834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9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9"/>
      <c r="AH138" s="106">
        <v>212401101</v>
      </c>
      <c r="AI138" s="159" t="s">
        <v>834</v>
      </c>
      <c r="AJ138" s="170">
        <f t="shared" si="144"/>
        <v>8.6402515477386928</v>
      </c>
      <c r="AK138" s="170" t="e">
        <f t="shared" si="130"/>
        <v>#DIV/0!</v>
      </c>
      <c r="AL138" s="170" t="e">
        <f t="shared" si="131"/>
        <v>#DIV/0!</v>
      </c>
      <c r="AM138" s="170" t="e">
        <f t="shared" si="132"/>
        <v>#DIV/0!</v>
      </c>
      <c r="AN138" s="170" t="e">
        <f t="shared" si="133"/>
        <v>#DIV/0!</v>
      </c>
      <c r="AO138" s="170" t="e">
        <f t="shared" si="134"/>
        <v>#DIV/0!</v>
      </c>
      <c r="AP138" s="170" t="e">
        <f t="shared" si="135"/>
        <v>#DIV/0!</v>
      </c>
      <c r="AQ138" s="170" t="e">
        <f t="shared" si="136"/>
        <v>#DIV/0!</v>
      </c>
      <c r="AR138" s="170" t="e">
        <f t="shared" si="137"/>
        <v>#DIV/0!</v>
      </c>
      <c r="AS138" s="170" t="e">
        <f t="shared" si="138"/>
        <v>#DIV/0!</v>
      </c>
      <c r="AT138" s="170" t="e">
        <f t="shared" si="139"/>
        <v>#DIV/0!</v>
      </c>
      <c r="AU138" s="170" t="e">
        <f t="shared" si="140"/>
        <v>#DIV/0!</v>
      </c>
      <c r="AV138" s="170">
        <f t="shared" si="141"/>
        <v>9.4158294371859288</v>
      </c>
      <c r="AX138" s="106">
        <v>212401101</v>
      </c>
      <c r="AY138" s="106" t="s">
        <v>834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32">
        <f t="shared" si="180"/>
        <v>-972805029</v>
      </c>
    </row>
    <row r="139" spans="1:59" x14ac:dyDescent="0.25">
      <c r="A139" s="164">
        <v>21240101101</v>
      </c>
      <c r="B139" s="165" t="s">
        <v>834</v>
      </c>
      <c r="C139" s="166">
        <v>199000000</v>
      </c>
      <c r="D139" s="166">
        <v>0</v>
      </c>
      <c r="E139" s="166">
        <v>0</v>
      </c>
      <c r="F139" s="166">
        <v>0</v>
      </c>
      <c r="G139" s="166">
        <v>0</v>
      </c>
      <c r="H139" s="166">
        <v>0</v>
      </c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f>SUM(N140:N148)</f>
        <v>0</v>
      </c>
      <c r="O139" s="166">
        <f t="shared" si="122"/>
        <v>199000000</v>
      </c>
      <c r="P139" s="166">
        <f t="shared" si="166"/>
        <v>199000000</v>
      </c>
      <c r="Q139" s="169"/>
      <c r="R139" s="106"/>
      <c r="S139" s="159"/>
      <c r="T139" s="166">
        <f t="shared" si="183"/>
        <v>959205029</v>
      </c>
      <c r="U139" s="166">
        <f t="shared" si="183"/>
        <v>13600000</v>
      </c>
      <c r="V139" s="166">
        <f t="shared" si="183"/>
        <v>127140000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>
        <f t="shared" si="143"/>
        <v>1099945029</v>
      </c>
      <c r="AG139" s="169"/>
      <c r="AH139" s="106"/>
      <c r="AI139" s="159"/>
      <c r="AJ139" s="171">
        <f t="shared" si="144"/>
        <v>3.8201257738693468</v>
      </c>
      <c r="AK139" s="171" t="e">
        <f t="shared" si="130"/>
        <v>#DIV/0!</v>
      </c>
      <c r="AL139" s="171" t="e">
        <f t="shared" si="131"/>
        <v>#DIV/0!</v>
      </c>
      <c r="AM139" s="171" t="e">
        <f t="shared" si="132"/>
        <v>#DIV/0!</v>
      </c>
      <c r="AN139" s="171" t="e">
        <f t="shared" si="133"/>
        <v>#DIV/0!</v>
      </c>
      <c r="AO139" s="171" t="e">
        <f t="shared" si="134"/>
        <v>#DIV/0!</v>
      </c>
      <c r="AP139" s="171" t="e">
        <f t="shared" si="135"/>
        <v>#DIV/0!</v>
      </c>
      <c r="AQ139" s="171" t="e">
        <f t="shared" si="136"/>
        <v>#DIV/0!</v>
      </c>
      <c r="AR139" s="171" t="e">
        <f t="shared" si="137"/>
        <v>#DIV/0!</v>
      </c>
      <c r="AS139" s="171" t="e">
        <f t="shared" si="138"/>
        <v>#DIV/0!</v>
      </c>
      <c r="AT139" s="171" t="e">
        <f t="shared" si="139"/>
        <v>#DIV/0!</v>
      </c>
      <c r="AU139" s="171" t="e">
        <f t="shared" si="140"/>
        <v>#DIV/0!</v>
      </c>
      <c r="AV139" s="171">
        <f t="shared" si="141"/>
        <v>4.5273619547738697</v>
      </c>
      <c r="AX139" s="115" t="s">
        <v>1077</v>
      </c>
      <c r="AY139" s="116" t="s">
        <v>698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32">
        <f t="shared" si="180"/>
        <v>-1089945029</v>
      </c>
    </row>
    <row r="140" spans="1:59" x14ac:dyDescent="0.25">
      <c r="A140" s="164" t="s">
        <v>1077</v>
      </c>
      <c r="B140" s="165" t="s">
        <v>698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>
        <f t="shared" si="122"/>
        <v>0</v>
      </c>
      <c r="P140" s="166">
        <f t="shared" si="166"/>
        <v>0</v>
      </c>
      <c r="Q140" s="169"/>
      <c r="R140" s="106" t="s">
        <v>1077</v>
      </c>
      <c r="S140" s="159" t="s">
        <v>698</v>
      </c>
      <c r="T140" s="162">
        <v>10000000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>
        <f t="shared" si="143"/>
        <v>10000000</v>
      </c>
      <c r="AG140" s="169"/>
      <c r="AH140" s="106" t="s">
        <v>1077</v>
      </c>
      <c r="AI140" s="159" t="s">
        <v>698</v>
      </c>
      <c r="AJ140" s="171" t="e">
        <f t="shared" si="144"/>
        <v>#DIV/0!</v>
      </c>
      <c r="AK140" s="171" t="e">
        <f t="shared" si="130"/>
        <v>#DIV/0!</v>
      </c>
      <c r="AL140" s="171" t="e">
        <f t="shared" si="131"/>
        <v>#DIV/0!</v>
      </c>
      <c r="AM140" s="171" t="e">
        <f t="shared" si="132"/>
        <v>#DIV/0!</v>
      </c>
      <c r="AN140" s="171" t="e">
        <f t="shared" si="133"/>
        <v>#DIV/0!</v>
      </c>
      <c r="AO140" s="171" t="e">
        <f t="shared" si="134"/>
        <v>#DIV/0!</v>
      </c>
      <c r="AP140" s="171" t="e">
        <f t="shared" si="135"/>
        <v>#DIV/0!</v>
      </c>
      <c r="AQ140" s="171" t="e">
        <f t="shared" si="136"/>
        <v>#DIV/0!</v>
      </c>
      <c r="AR140" s="171" t="e">
        <f t="shared" si="137"/>
        <v>#DIV/0!</v>
      </c>
      <c r="AS140" s="171" t="e">
        <f t="shared" si="138"/>
        <v>#DIV/0!</v>
      </c>
      <c r="AT140" s="171" t="e">
        <f t="shared" si="139"/>
        <v>#DIV/0!</v>
      </c>
      <c r="AU140" s="171" t="e">
        <f t="shared" si="140"/>
        <v>#DIV/0!</v>
      </c>
      <c r="AV140" s="171" t="e">
        <f t="shared" si="141"/>
        <v>#DIV/0!</v>
      </c>
      <c r="AX140" s="116" t="s">
        <v>1078</v>
      </c>
      <c r="AY140" s="116" t="s">
        <v>699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32">
        <f t="shared" si="180"/>
        <v>-10000000</v>
      </c>
    </row>
    <row r="141" spans="1:59" x14ac:dyDescent="0.25">
      <c r="A141" s="164" t="s">
        <v>1078</v>
      </c>
      <c r="B141" s="165" t="s">
        <v>699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>
        <f t="shared" si="122"/>
        <v>0</v>
      </c>
      <c r="P141" s="166">
        <f t="shared" si="166"/>
        <v>0</v>
      </c>
      <c r="Q141" s="169"/>
      <c r="R141" s="106" t="s">
        <v>1078</v>
      </c>
      <c r="S141" s="159" t="s">
        <v>699</v>
      </c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>
        <f t="shared" si="143"/>
        <v>0</v>
      </c>
      <c r="AG141" s="169"/>
      <c r="AH141" s="106" t="s">
        <v>1078</v>
      </c>
      <c r="AI141" s="159" t="s">
        <v>699</v>
      </c>
      <c r="AJ141" s="171" t="e">
        <f t="shared" si="144"/>
        <v>#DIV/0!</v>
      </c>
      <c r="AK141" s="171" t="e">
        <f t="shared" si="130"/>
        <v>#DIV/0!</v>
      </c>
      <c r="AL141" s="171" t="e">
        <f t="shared" si="131"/>
        <v>#DIV/0!</v>
      </c>
      <c r="AM141" s="171" t="e">
        <f t="shared" si="132"/>
        <v>#DIV/0!</v>
      </c>
      <c r="AN141" s="171" t="e">
        <f t="shared" si="133"/>
        <v>#DIV/0!</v>
      </c>
      <c r="AO141" s="171" t="e">
        <f t="shared" si="134"/>
        <v>#DIV/0!</v>
      </c>
      <c r="AP141" s="171" t="e">
        <f t="shared" si="135"/>
        <v>#DIV/0!</v>
      </c>
      <c r="AQ141" s="171" t="e">
        <f t="shared" si="136"/>
        <v>#DIV/0!</v>
      </c>
      <c r="AR141" s="171" t="e">
        <f t="shared" si="137"/>
        <v>#DIV/0!</v>
      </c>
      <c r="AS141" s="171" t="e">
        <f t="shared" si="138"/>
        <v>#DIV/0!</v>
      </c>
      <c r="AT141" s="171" t="e">
        <f t="shared" si="139"/>
        <v>#DIV/0!</v>
      </c>
      <c r="AU141" s="171" t="e">
        <f t="shared" si="140"/>
        <v>#DIV/0!</v>
      </c>
      <c r="AV141" s="171" t="e">
        <f t="shared" si="141"/>
        <v>#DIV/0!</v>
      </c>
      <c r="AX141" s="116" t="s">
        <v>1079</v>
      </c>
      <c r="AY141" s="115" t="s">
        <v>1080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32">
        <f t="shared" si="180"/>
        <v>915923529</v>
      </c>
    </row>
    <row r="142" spans="1:59" x14ac:dyDescent="0.25">
      <c r="A142" s="164" t="s">
        <v>1079</v>
      </c>
      <c r="B142" s="165" t="s">
        <v>1080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>
        <f t="shared" ref="O142:O148" si="185">+C142+D142+E142</f>
        <v>0</v>
      </c>
      <c r="P142" s="166">
        <f t="shared" si="166"/>
        <v>0</v>
      </c>
      <c r="Q142" s="169"/>
      <c r="R142" s="106" t="s">
        <v>1079</v>
      </c>
      <c r="S142" s="159" t="s">
        <v>1080</v>
      </c>
      <c r="T142" s="162">
        <v>915923529</v>
      </c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>
        <f t="shared" si="143"/>
        <v>915923529</v>
      </c>
      <c r="AG142" s="169"/>
      <c r="AH142" s="106" t="s">
        <v>1079</v>
      </c>
      <c r="AI142" s="159" t="s">
        <v>1080</v>
      </c>
      <c r="AJ142" s="171" t="e">
        <f t="shared" si="144"/>
        <v>#DIV/0!</v>
      </c>
      <c r="AK142" s="171" t="e">
        <f t="shared" si="130"/>
        <v>#DIV/0!</v>
      </c>
      <c r="AL142" s="171" t="e">
        <f t="shared" si="131"/>
        <v>#DIV/0!</v>
      </c>
      <c r="AM142" s="171" t="e">
        <f t="shared" si="132"/>
        <v>#DIV/0!</v>
      </c>
      <c r="AN142" s="171" t="e">
        <f t="shared" si="133"/>
        <v>#DIV/0!</v>
      </c>
      <c r="AO142" s="171" t="e">
        <f t="shared" si="134"/>
        <v>#DIV/0!</v>
      </c>
      <c r="AP142" s="171" t="e">
        <f t="shared" si="135"/>
        <v>#DIV/0!</v>
      </c>
      <c r="AQ142" s="171" t="e">
        <f t="shared" si="136"/>
        <v>#DIV/0!</v>
      </c>
      <c r="AR142" s="171" t="e">
        <f t="shared" si="137"/>
        <v>#DIV/0!</v>
      </c>
      <c r="AS142" s="171" t="e">
        <f t="shared" si="138"/>
        <v>#DIV/0!</v>
      </c>
      <c r="AT142" s="171" t="e">
        <f t="shared" si="139"/>
        <v>#DIV/0!</v>
      </c>
      <c r="AU142" s="171" t="e">
        <f t="shared" si="140"/>
        <v>#DIV/0!</v>
      </c>
      <c r="AV142" s="171" t="e">
        <f t="shared" si="141"/>
        <v>#DIV/0!</v>
      </c>
      <c r="AX142" s="115" t="s">
        <v>1171</v>
      </c>
      <c r="AY142" s="115" t="s">
        <v>1172</v>
      </c>
      <c r="AZ142" s="81"/>
      <c r="BA142" s="74"/>
      <c r="BB142" s="81"/>
      <c r="BC142" s="86"/>
      <c r="BD142" s="95"/>
      <c r="BE142" s="74"/>
      <c r="BF142" s="95"/>
      <c r="BG142" s="232">
        <f t="shared" si="180"/>
        <v>-915923529</v>
      </c>
    </row>
    <row r="143" spans="1:59" x14ac:dyDescent="0.25">
      <c r="A143" s="164" t="s">
        <v>1081</v>
      </c>
      <c r="B143" s="165" t="s">
        <v>1082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>
        <f t="shared" si="185"/>
        <v>0</v>
      </c>
      <c r="P143" s="166">
        <f t="shared" si="166"/>
        <v>0</v>
      </c>
      <c r="Q143" s="169"/>
      <c r="R143" s="106" t="s">
        <v>1081</v>
      </c>
      <c r="S143" s="159" t="s">
        <v>1082</v>
      </c>
      <c r="T143" s="162">
        <v>50000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>
        <f t="shared" si="143"/>
        <v>50000</v>
      </c>
      <c r="AG143" s="169"/>
      <c r="AH143" s="106" t="s">
        <v>1081</v>
      </c>
      <c r="AI143" s="159" t="s">
        <v>1082</v>
      </c>
      <c r="AJ143" s="171" t="e">
        <f t="shared" si="144"/>
        <v>#DIV/0!</v>
      </c>
      <c r="AK143" s="171" t="e">
        <f t="shared" si="130"/>
        <v>#DIV/0!</v>
      </c>
      <c r="AL143" s="171" t="e">
        <f t="shared" si="131"/>
        <v>#DIV/0!</v>
      </c>
      <c r="AM143" s="171" t="e">
        <f t="shared" si="132"/>
        <v>#DIV/0!</v>
      </c>
      <c r="AN143" s="171" t="e">
        <f t="shared" si="133"/>
        <v>#DIV/0!</v>
      </c>
      <c r="AO143" s="171" t="e">
        <f t="shared" si="134"/>
        <v>#DIV/0!</v>
      </c>
      <c r="AP143" s="171" t="e">
        <f t="shared" si="135"/>
        <v>#DIV/0!</v>
      </c>
      <c r="AQ143" s="171" t="e">
        <f t="shared" si="136"/>
        <v>#DIV/0!</v>
      </c>
      <c r="AR143" s="171" t="e">
        <f t="shared" si="137"/>
        <v>#DIV/0!</v>
      </c>
      <c r="AS143" s="171" t="e">
        <f t="shared" si="138"/>
        <v>#DIV/0!</v>
      </c>
      <c r="AT143" s="171" t="e">
        <f t="shared" si="139"/>
        <v>#DIV/0!</v>
      </c>
      <c r="AU143" s="171" t="e">
        <f t="shared" si="140"/>
        <v>#DIV/0!</v>
      </c>
      <c r="AV143" s="171" t="e">
        <f t="shared" si="141"/>
        <v>#DIV/0!</v>
      </c>
      <c r="AX143" s="115" t="s">
        <v>1081</v>
      </c>
      <c r="AY143" s="116" t="s">
        <v>1082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32">
        <f t="shared" si="180"/>
        <v>0</v>
      </c>
    </row>
    <row r="144" spans="1:59" x14ac:dyDescent="0.25">
      <c r="A144" s="164" t="s">
        <v>1083</v>
      </c>
      <c r="B144" s="165" t="s">
        <v>1084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>
        <f t="shared" si="185"/>
        <v>0</v>
      </c>
      <c r="P144" s="166">
        <f t="shared" si="166"/>
        <v>0</v>
      </c>
      <c r="Q144" s="169"/>
      <c r="R144" s="106" t="s">
        <v>1083</v>
      </c>
      <c r="S144" s="159" t="s">
        <v>1084</v>
      </c>
      <c r="T144" s="162">
        <v>3160000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>
        <f t="shared" si="143"/>
        <v>3160000</v>
      </c>
      <c r="AG144" s="169"/>
      <c r="AH144" s="106" t="s">
        <v>1083</v>
      </c>
      <c r="AI144" s="159" t="s">
        <v>1084</v>
      </c>
      <c r="AJ144" s="171" t="e">
        <f t="shared" si="144"/>
        <v>#DIV/0!</v>
      </c>
      <c r="AK144" s="171" t="e">
        <f t="shared" si="130"/>
        <v>#DIV/0!</v>
      </c>
      <c r="AL144" s="171" t="e">
        <f t="shared" si="131"/>
        <v>#DIV/0!</v>
      </c>
      <c r="AM144" s="171" t="e">
        <f t="shared" si="132"/>
        <v>#DIV/0!</v>
      </c>
      <c r="AN144" s="171" t="e">
        <f t="shared" si="133"/>
        <v>#DIV/0!</v>
      </c>
      <c r="AO144" s="171" t="e">
        <f t="shared" si="134"/>
        <v>#DIV/0!</v>
      </c>
      <c r="AP144" s="171" t="e">
        <f t="shared" si="135"/>
        <v>#DIV/0!</v>
      </c>
      <c r="AQ144" s="171" t="e">
        <f t="shared" si="136"/>
        <v>#DIV/0!</v>
      </c>
      <c r="AR144" s="171" t="e">
        <f t="shared" si="137"/>
        <v>#DIV/0!</v>
      </c>
      <c r="AS144" s="171" t="e">
        <f t="shared" si="138"/>
        <v>#DIV/0!</v>
      </c>
      <c r="AT144" s="171" t="e">
        <f t="shared" si="139"/>
        <v>#DIV/0!</v>
      </c>
      <c r="AU144" s="171" t="e">
        <f t="shared" si="140"/>
        <v>#DIV/0!</v>
      </c>
      <c r="AV144" s="171" t="e">
        <f t="shared" si="141"/>
        <v>#DIV/0!</v>
      </c>
      <c r="AX144" s="115" t="s">
        <v>1083</v>
      </c>
      <c r="AY144" s="115" t="s">
        <v>1084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32">
        <f t="shared" si="180"/>
        <v>0</v>
      </c>
    </row>
    <row r="145" spans="1:59" x14ac:dyDescent="0.25">
      <c r="A145" s="164" t="s">
        <v>1085</v>
      </c>
      <c r="B145" s="165" t="s">
        <v>1086</v>
      </c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>
        <f t="shared" si="185"/>
        <v>0</v>
      </c>
      <c r="P145" s="166">
        <f t="shared" si="166"/>
        <v>0</v>
      </c>
      <c r="Q145" s="169"/>
      <c r="R145" s="106" t="s">
        <v>1085</v>
      </c>
      <c r="S145" s="159" t="s">
        <v>1086</v>
      </c>
      <c r="T145" s="162">
        <v>71500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>
        <f t="shared" si="143"/>
        <v>71500</v>
      </c>
      <c r="AG145" s="169"/>
      <c r="AH145" s="106" t="s">
        <v>1085</v>
      </c>
      <c r="AI145" s="159" t="s">
        <v>1086</v>
      </c>
      <c r="AJ145" s="171" t="e">
        <f t="shared" si="144"/>
        <v>#DIV/0!</v>
      </c>
      <c r="AK145" s="171" t="e">
        <f t="shared" si="130"/>
        <v>#DIV/0!</v>
      </c>
      <c r="AL145" s="171" t="e">
        <f t="shared" si="131"/>
        <v>#DIV/0!</v>
      </c>
      <c r="AM145" s="171" t="e">
        <f t="shared" si="132"/>
        <v>#DIV/0!</v>
      </c>
      <c r="AN145" s="171" t="e">
        <f t="shared" si="133"/>
        <v>#DIV/0!</v>
      </c>
      <c r="AO145" s="171" t="e">
        <f t="shared" si="134"/>
        <v>#DIV/0!</v>
      </c>
      <c r="AP145" s="171" t="e">
        <f t="shared" si="135"/>
        <v>#DIV/0!</v>
      </c>
      <c r="AQ145" s="171" t="e">
        <f t="shared" si="136"/>
        <v>#DIV/0!</v>
      </c>
      <c r="AR145" s="171" t="e">
        <f t="shared" si="137"/>
        <v>#DIV/0!</v>
      </c>
      <c r="AS145" s="171" t="e">
        <f t="shared" si="138"/>
        <v>#DIV/0!</v>
      </c>
      <c r="AT145" s="171" t="e">
        <f t="shared" si="139"/>
        <v>#DIV/0!</v>
      </c>
      <c r="AU145" s="171" t="e">
        <f t="shared" si="140"/>
        <v>#DIV/0!</v>
      </c>
      <c r="AV145" s="171" t="e">
        <f t="shared" si="141"/>
        <v>#DIV/0!</v>
      </c>
      <c r="AX145" s="115" t="s">
        <v>1085</v>
      </c>
      <c r="AY145" s="116" t="s">
        <v>1086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32">
        <f t="shared" si="180"/>
        <v>0</v>
      </c>
    </row>
    <row r="146" spans="1:59" x14ac:dyDescent="0.25">
      <c r="A146" s="164" t="s">
        <v>1087</v>
      </c>
      <c r="B146" s="165" t="s">
        <v>1088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>
        <f t="shared" si="185"/>
        <v>0</v>
      </c>
      <c r="P146" s="166">
        <f t="shared" si="166"/>
        <v>0</v>
      </c>
      <c r="Q146" s="169"/>
      <c r="R146" s="106" t="s">
        <v>1087</v>
      </c>
      <c r="S146" s="159" t="s">
        <v>1088</v>
      </c>
      <c r="T146" s="162">
        <v>30000000</v>
      </c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>
        <f t="shared" si="143"/>
        <v>30000000</v>
      </c>
      <c r="AG146" s="169"/>
      <c r="AH146" s="106" t="s">
        <v>1087</v>
      </c>
      <c r="AI146" s="159" t="s">
        <v>1088</v>
      </c>
      <c r="AJ146" s="171" t="e">
        <f t="shared" si="144"/>
        <v>#DIV/0!</v>
      </c>
      <c r="AK146" s="171" t="e">
        <f t="shared" si="130"/>
        <v>#DIV/0!</v>
      </c>
      <c r="AL146" s="171" t="e">
        <f t="shared" si="131"/>
        <v>#DIV/0!</v>
      </c>
      <c r="AM146" s="171" t="e">
        <f t="shared" si="132"/>
        <v>#DIV/0!</v>
      </c>
      <c r="AN146" s="171" t="e">
        <f t="shared" si="133"/>
        <v>#DIV/0!</v>
      </c>
      <c r="AO146" s="171" t="e">
        <f t="shared" si="134"/>
        <v>#DIV/0!</v>
      </c>
      <c r="AP146" s="171" t="e">
        <f t="shared" si="135"/>
        <v>#DIV/0!</v>
      </c>
      <c r="AQ146" s="171" t="e">
        <f t="shared" si="136"/>
        <v>#DIV/0!</v>
      </c>
      <c r="AR146" s="171" t="e">
        <f t="shared" si="137"/>
        <v>#DIV/0!</v>
      </c>
      <c r="AS146" s="171" t="e">
        <f t="shared" si="138"/>
        <v>#DIV/0!</v>
      </c>
      <c r="AT146" s="171" t="e">
        <f t="shared" si="139"/>
        <v>#DIV/0!</v>
      </c>
      <c r="AU146" s="171" t="e">
        <f t="shared" si="140"/>
        <v>#DIV/0!</v>
      </c>
      <c r="AV146" s="171" t="e">
        <f t="shared" si="141"/>
        <v>#DIV/0!</v>
      </c>
      <c r="AX146" s="115" t="s">
        <v>1087</v>
      </c>
      <c r="AY146" s="116" t="s">
        <v>1088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32">
        <f t="shared" si="180"/>
        <v>0</v>
      </c>
    </row>
    <row r="147" spans="1:59" x14ac:dyDescent="0.25">
      <c r="A147" s="164" t="s">
        <v>1173</v>
      </c>
      <c r="B147" s="165" t="s">
        <v>1174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>
        <f t="shared" si="185"/>
        <v>0</v>
      </c>
      <c r="P147" s="166">
        <f t="shared" si="166"/>
        <v>0</v>
      </c>
      <c r="Q147" s="169"/>
      <c r="R147" s="106"/>
      <c r="S147" s="159"/>
      <c r="T147" s="162"/>
      <c r="U147" s="162">
        <v>13600000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>
        <f>SUM(T147:AE147)</f>
        <v>13600000</v>
      </c>
      <c r="AG147" s="169"/>
      <c r="AH147" s="106"/>
      <c r="AI147" s="159"/>
      <c r="AJ147" s="171" t="e">
        <f t="shared" ref="AJ147:AU147" si="186">(T147-C147)/C147</f>
        <v>#DIV/0!</v>
      </c>
      <c r="AK147" s="171" t="e">
        <f t="shared" si="186"/>
        <v>#DIV/0!</v>
      </c>
      <c r="AL147" s="171" t="e">
        <f t="shared" si="186"/>
        <v>#DIV/0!</v>
      </c>
      <c r="AM147" s="171" t="e">
        <f t="shared" si="186"/>
        <v>#DIV/0!</v>
      </c>
      <c r="AN147" s="171" t="e">
        <f t="shared" si="186"/>
        <v>#DIV/0!</v>
      </c>
      <c r="AO147" s="171" t="e">
        <f t="shared" si="186"/>
        <v>#DIV/0!</v>
      </c>
      <c r="AP147" s="171" t="e">
        <f t="shared" si="186"/>
        <v>#DIV/0!</v>
      </c>
      <c r="AQ147" s="171" t="e">
        <f t="shared" si="186"/>
        <v>#DIV/0!</v>
      </c>
      <c r="AR147" s="171" t="e">
        <f t="shared" si="186"/>
        <v>#DIV/0!</v>
      </c>
      <c r="AS147" s="171" t="e">
        <f t="shared" si="186"/>
        <v>#DIV/0!</v>
      </c>
      <c r="AT147" s="171" t="e">
        <f t="shared" si="186"/>
        <v>#DIV/0!</v>
      </c>
      <c r="AU147" s="171" t="e">
        <f t="shared" si="186"/>
        <v>#DIV/0!</v>
      </c>
      <c r="AV147" s="171" t="e">
        <f>(AF147-P147)/P147</f>
        <v>#DIV/0!</v>
      </c>
      <c r="AX147" s="115" t="s">
        <v>1173</v>
      </c>
      <c r="AY147" s="116" t="s">
        <v>1174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32">
        <f t="shared" si="180"/>
        <v>0</v>
      </c>
    </row>
    <row r="148" spans="1:59" x14ac:dyDescent="0.25">
      <c r="A148" s="164" t="s">
        <v>1216</v>
      </c>
      <c r="B148" s="165" t="s">
        <v>1217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>
        <f t="shared" si="185"/>
        <v>0</v>
      </c>
      <c r="P148" s="166"/>
      <c r="Q148" s="169"/>
      <c r="R148" s="106"/>
      <c r="S148" s="159"/>
      <c r="T148" s="162"/>
      <c r="U148" s="162"/>
      <c r="V148" s="162">
        <v>127140000</v>
      </c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9"/>
      <c r="AH148" s="106"/>
      <c r="AI148" s="159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X148" s="115" t="s">
        <v>1216</v>
      </c>
      <c r="AY148" s="116" t="s">
        <v>1217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32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67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67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5"/>
  <sheetViews>
    <sheetView showGridLines="0" workbookViewId="0">
      <pane xSplit="2" ySplit="4" topLeftCell="V569" activePane="bottomRight" state="frozen"/>
      <selection pane="topRight" activeCell="C1" sqref="C1"/>
      <selection pane="bottomLeft" activeCell="A4" sqref="A4"/>
      <selection pane="bottomRight" activeCell="AI569" sqref="AI569:AV615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95" customWidth="1"/>
    <col min="18" max="18" width="15" hidden="1" customWidth="1"/>
    <col min="19" max="19" width="100.28515625" hidden="1" customWidth="1"/>
    <col min="20" max="20" width="17.85546875" bestFit="1" customWidth="1"/>
    <col min="21" max="22" width="17.85546875" style="18" bestFit="1" customWidth="1"/>
    <col min="23" max="23" width="16.85546875" style="18" bestFit="1" customWidth="1"/>
    <col min="24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95" customWidth="1"/>
    <col min="35" max="35" width="17.85546875" bestFit="1" customWidth="1"/>
    <col min="36" max="38" width="12" bestFit="1" customWidth="1"/>
    <col min="39" max="42" width="12" hidden="1" customWidth="1"/>
    <col min="43" max="43" width="12.85546875" hidden="1" customWidth="1"/>
    <col min="44" max="46" width="12" hidden="1" customWidth="1"/>
    <col min="47" max="47" width="12" bestFit="1" customWidth="1"/>
    <col min="49" max="49" width="5.7109375" customWidth="1"/>
  </cols>
  <sheetData>
    <row r="1" spans="1:48" s="193" customFormat="1" ht="29.25" x14ac:dyDescent="0.5">
      <c r="A1" s="275" t="s">
        <v>1176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94"/>
      <c r="T1" s="278" t="s">
        <v>1176</v>
      </c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196"/>
      <c r="AI1" s="273" t="s">
        <v>927</v>
      </c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</row>
    <row r="2" spans="1:48" s="193" customFormat="1" ht="27.75" x14ac:dyDescent="0.5">
      <c r="A2" s="275" t="s">
        <v>1175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194"/>
      <c r="T2" s="279" t="s">
        <v>1175</v>
      </c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196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193" customFormat="1" ht="26.25" x14ac:dyDescent="0.4">
      <c r="A3" s="276" t="s">
        <v>928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94"/>
      <c r="T3" s="277" t="s">
        <v>928</v>
      </c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197"/>
      <c r="AI3" s="277" t="s">
        <v>1120</v>
      </c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</row>
    <row r="4" spans="1:48" s="203" customFormat="1" ht="38.25" x14ac:dyDescent="0.2">
      <c r="A4" s="198" t="s">
        <v>762</v>
      </c>
      <c r="B4" s="199" t="s">
        <v>763</v>
      </c>
      <c r="C4" s="200" t="s">
        <v>764</v>
      </c>
      <c r="D4" s="200" t="s">
        <v>765</v>
      </c>
      <c r="E4" s="200" t="s">
        <v>766</v>
      </c>
      <c r="F4" s="200" t="s">
        <v>767</v>
      </c>
      <c r="G4" s="200" t="s">
        <v>768</v>
      </c>
      <c r="H4" s="200" t="s">
        <v>769</v>
      </c>
      <c r="I4" s="200" t="s">
        <v>770</v>
      </c>
      <c r="J4" s="200" t="s">
        <v>771</v>
      </c>
      <c r="K4" s="200" t="s">
        <v>772</v>
      </c>
      <c r="L4" s="200" t="s">
        <v>773</v>
      </c>
      <c r="M4" s="200" t="s">
        <v>774</v>
      </c>
      <c r="N4" s="200" t="s">
        <v>775</v>
      </c>
      <c r="O4" s="200" t="s">
        <v>1333</v>
      </c>
      <c r="P4" s="201" t="s">
        <v>776</v>
      </c>
      <c r="Q4" s="202"/>
      <c r="R4" s="188" t="s">
        <v>0</v>
      </c>
      <c r="S4" s="189" t="s">
        <v>1</v>
      </c>
      <c r="T4" s="200" t="s">
        <v>1090</v>
      </c>
      <c r="U4" s="200" t="s">
        <v>1091</v>
      </c>
      <c r="V4" s="200" t="s">
        <v>1092</v>
      </c>
      <c r="W4" s="200" t="s">
        <v>1093</v>
      </c>
      <c r="X4" s="200" t="s">
        <v>1094</v>
      </c>
      <c r="Y4" s="200" t="s">
        <v>1095</v>
      </c>
      <c r="Z4" s="200" t="s">
        <v>1096</v>
      </c>
      <c r="AA4" s="200" t="s">
        <v>1097</v>
      </c>
      <c r="AB4" s="200" t="s">
        <v>1098</v>
      </c>
      <c r="AC4" s="200" t="s">
        <v>1099</v>
      </c>
      <c r="AD4" s="200" t="s">
        <v>1100</v>
      </c>
      <c r="AE4" s="200" t="s">
        <v>1101</v>
      </c>
      <c r="AF4" s="200" t="s">
        <v>1334</v>
      </c>
      <c r="AG4" s="200" t="s">
        <v>1119</v>
      </c>
      <c r="AH4" s="202"/>
      <c r="AI4" s="200" t="s">
        <v>1090</v>
      </c>
      <c r="AJ4" s="200" t="s">
        <v>1091</v>
      </c>
      <c r="AK4" s="200" t="s">
        <v>1092</v>
      </c>
      <c r="AL4" s="200" t="s">
        <v>1093</v>
      </c>
      <c r="AM4" s="200" t="s">
        <v>1094</v>
      </c>
      <c r="AN4" s="200" t="s">
        <v>1095</v>
      </c>
      <c r="AO4" s="200" t="s">
        <v>1096</v>
      </c>
      <c r="AP4" s="200" t="s">
        <v>1097</v>
      </c>
      <c r="AQ4" s="200" t="s">
        <v>1098</v>
      </c>
      <c r="AR4" s="200" t="s">
        <v>1099</v>
      </c>
      <c r="AS4" s="200" t="s">
        <v>1100</v>
      </c>
      <c r="AT4" s="200" t="s">
        <v>1101</v>
      </c>
      <c r="AU4" s="200" t="s">
        <v>1219</v>
      </c>
      <c r="AV4" s="200" t="s">
        <v>1119</v>
      </c>
    </row>
    <row r="5" spans="1:48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 t="shared" ref="O5:O9" si="1"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22211252946.379997</v>
      </c>
      <c r="U5" s="186">
        <v>13107095550.150002</v>
      </c>
      <c r="V5" s="186">
        <v>12831921748.66</v>
      </c>
      <c r="W5" s="186">
        <f t="shared" ref="W5" si="2">+W6+W72+W279+W288+W300</f>
        <v>9628237554.6800003</v>
      </c>
      <c r="X5" s="186">
        <f t="shared" ref="X5:AE5" si="3">+X6+X72+X279+X288+X300</f>
        <v>0</v>
      </c>
      <c r="Y5" s="186">
        <f t="shared" si="3"/>
        <v>0</v>
      </c>
      <c r="Z5" s="186">
        <f t="shared" si="3"/>
        <v>0</v>
      </c>
      <c r="AA5" s="186">
        <f t="shared" si="3"/>
        <v>0</v>
      </c>
      <c r="AB5" s="186">
        <f t="shared" si="3"/>
        <v>0</v>
      </c>
      <c r="AC5" s="186">
        <f t="shared" si="3"/>
        <v>0</v>
      </c>
      <c r="AD5" s="186">
        <f t="shared" si="3"/>
        <v>0</v>
      </c>
      <c r="AE5" s="186">
        <f t="shared" si="3"/>
        <v>0</v>
      </c>
      <c r="AF5" s="186">
        <f>+T5+U5+V5+W5</f>
        <v>57778507799.870003</v>
      </c>
      <c r="AG5" s="186">
        <f>+T5+U5+V5+W5</f>
        <v>57778507799.870003</v>
      </c>
      <c r="AI5" s="173">
        <f>(C5-T5)/C5</f>
        <v>-0.67140375308527467</v>
      </c>
      <c r="AJ5" s="173">
        <f t="shared" ref="AJ5:AJ68" si="4">(D5-U5)/D5</f>
        <v>0.33646352490106657</v>
      </c>
      <c r="AK5" s="173">
        <f t="shared" ref="AK5:AK68" si="5">(E5-V5)/E5</f>
        <v>-8.0731073019532067E-3</v>
      </c>
      <c r="AL5" s="173">
        <f t="shared" ref="AL5:AL68" si="6">(F5-W5)/F5</f>
        <v>0.20457236363834824</v>
      </c>
      <c r="AM5" s="173">
        <f t="shared" ref="AM5:AM68" si="7">(G5-X5)/G5</f>
        <v>1</v>
      </c>
      <c r="AN5" s="173">
        <f t="shared" ref="AN5:AN68" si="8">(H5-Y5)/H5</f>
        <v>1</v>
      </c>
      <c r="AO5" s="173">
        <f t="shared" ref="AO5:AO68" si="9">(I5-Z5)/I5</f>
        <v>1</v>
      </c>
      <c r="AP5" s="173">
        <f t="shared" ref="AP5:AP68" si="10">(J5-AA5)/J5</f>
        <v>1</v>
      </c>
      <c r="AQ5" s="173">
        <f t="shared" ref="AQ5:AQ68" si="11">(K5-AB5)/K5</f>
        <v>1</v>
      </c>
      <c r="AR5" s="173">
        <f t="shared" ref="AR5:AR68" si="12">(L5-AC5)/L5</f>
        <v>1</v>
      </c>
      <c r="AS5" s="173">
        <f t="shared" ref="AS5:AS68" si="13">(M5-AD5)/M5</f>
        <v>1</v>
      </c>
      <c r="AT5" s="173">
        <f t="shared" ref="AT5:AT68" si="14">(N5-AE5)/N5</f>
        <v>1</v>
      </c>
      <c r="AU5" s="173">
        <f t="shared" ref="AU5:AU68" si="15">(O5-AF5)/O5</f>
        <v>-0.26232414661562264</v>
      </c>
      <c r="AV5" s="173">
        <f t="shared" ref="AV5:AV68" si="16">(P5-AG5)/P5</f>
        <v>0.60327468820037611</v>
      </c>
    </row>
    <row r="6" spans="1:48" x14ac:dyDescent="0.25">
      <c r="A6" s="4" t="s">
        <v>9</v>
      </c>
      <c r="B6" s="5" t="s">
        <v>10</v>
      </c>
      <c r="C6" s="6">
        <f t="shared" ref="C6:N6" si="17">+C7+C43</f>
        <v>9569187512.8598175</v>
      </c>
      <c r="D6" s="6">
        <f t="shared" si="17"/>
        <v>14982170882.150988</v>
      </c>
      <c r="E6" s="6">
        <f t="shared" si="17"/>
        <v>10063564432.159428</v>
      </c>
      <c r="F6" s="6">
        <f t="shared" si="17"/>
        <v>9651014814.0398178</v>
      </c>
      <c r="G6" s="6">
        <f t="shared" si="17"/>
        <v>9208710510.0398178</v>
      </c>
      <c r="H6" s="6">
        <f t="shared" si="17"/>
        <v>9446134103.8898163</v>
      </c>
      <c r="I6" s="6">
        <f t="shared" si="17"/>
        <v>9699474357.8598175</v>
      </c>
      <c r="J6" s="6">
        <f t="shared" si="17"/>
        <v>10135411952.039818</v>
      </c>
      <c r="K6" s="6">
        <f t="shared" si="17"/>
        <v>9365909124.0398178</v>
      </c>
      <c r="L6" s="6">
        <f t="shared" si="17"/>
        <v>9176560509.2898178</v>
      </c>
      <c r="M6" s="6">
        <f t="shared" si="17"/>
        <v>9135060510.0398178</v>
      </c>
      <c r="N6" s="6">
        <f t="shared" si="17"/>
        <v>8999840672.8598175</v>
      </c>
      <c r="O6" s="6">
        <f t="shared" si="1"/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f t="shared" ref="W6" si="18">+W7+W43</f>
        <v>7700711704</v>
      </c>
      <c r="X6" s="6">
        <f t="shared" ref="X6:AE6" si="19">+X7+X43</f>
        <v>0</v>
      </c>
      <c r="Y6" s="6">
        <f t="shared" si="19"/>
        <v>0</v>
      </c>
      <c r="Z6" s="6">
        <f t="shared" si="19"/>
        <v>0</v>
      </c>
      <c r="AA6" s="6">
        <f t="shared" si="19"/>
        <v>0</v>
      </c>
      <c r="AB6" s="6">
        <f t="shared" si="19"/>
        <v>0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ref="AF6:AF69" si="20">+T6+U6+V6+W6</f>
        <v>48190046331</v>
      </c>
      <c r="AG6" s="6">
        <f t="shared" ref="AG6:AG69" si="21">+T6+U6+V6+W6</f>
        <v>48190046331</v>
      </c>
      <c r="AI6" s="174">
        <f t="shared" ref="AI6:AI69" si="22">(C6-T6)/C6</f>
        <v>-0.86240678198120668</v>
      </c>
      <c r="AJ6" s="174">
        <f t="shared" si="4"/>
        <v>0.1926731916794524</v>
      </c>
      <c r="AK6" s="174">
        <f t="shared" si="5"/>
        <v>-5.0533017030770871E-2</v>
      </c>
      <c r="AL6" s="174">
        <f t="shared" si="6"/>
        <v>0.20208269779076637</v>
      </c>
      <c r="AM6" s="174">
        <f t="shared" si="7"/>
        <v>1</v>
      </c>
      <c r="AN6" s="174">
        <f t="shared" si="8"/>
        <v>1</v>
      </c>
      <c r="AO6" s="174">
        <f t="shared" si="9"/>
        <v>1</v>
      </c>
      <c r="AP6" s="174">
        <f t="shared" si="10"/>
        <v>1</v>
      </c>
      <c r="AQ6" s="174">
        <f t="shared" si="11"/>
        <v>1</v>
      </c>
      <c r="AR6" s="174">
        <f t="shared" si="12"/>
        <v>1</v>
      </c>
      <c r="AS6" s="174">
        <f t="shared" si="13"/>
        <v>1</v>
      </c>
      <c r="AT6" s="174">
        <f t="shared" si="14"/>
        <v>1</v>
      </c>
      <c r="AU6" s="174">
        <f t="shared" si="15"/>
        <v>-0.39217546639087913</v>
      </c>
      <c r="AV6" s="174">
        <f t="shared" si="16"/>
        <v>0.59650992237447875</v>
      </c>
    </row>
    <row r="7" spans="1:48" x14ac:dyDescent="0.25">
      <c r="A7" s="4" t="s">
        <v>11</v>
      </c>
      <c r="B7" s="5" t="s">
        <v>12</v>
      </c>
      <c r="C7" s="6">
        <f t="shared" ref="C7:N7" si="23">+C8+C21+C34</f>
        <v>7235040993.1347179</v>
      </c>
      <c r="D7" s="6">
        <f t="shared" si="23"/>
        <v>11624797541.425888</v>
      </c>
      <c r="E7" s="6">
        <f t="shared" si="23"/>
        <v>6935851490.2543278</v>
      </c>
      <c r="F7" s="6">
        <f t="shared" si="23"/>
        <v>6692844153.1347179</v>
      </c>
      <c r="G7" s="6">
        <f t="shared" si="23"/>
        <v>6692944153.1347179</v>
      </c>
      <c r="H7" s="6">
        <f t="shared" si="23"/>
        <v>6691794153.9847164</v>
      </c>
      <c r="I7" s="6">
        <f t="shared" si="23"/>
        <v>6692794153.1347179</v>
      </c>
      <c r="J7" s="6">
        <f t="shared" si="23"/>
        <v>6694894153.1347179</v>
      </c>
      <c r="K7" s="6">
        <f t="shared" si="23"/>
        <v>6695294153.1347179</v>
      </c>
      <c r="L7" s="6">
        <f t="shared" si="23"/>
        <v>6694494152.3847179</v>
      </c>
      <c r="M7" s="6">
        <f t="shared" si="23"/>
        <v>6695994153.1347179</v>
      </c>
      <c r="N7" s="6">
        <f t="shared" si="23"/>
        <v>6690994153.1347179</v>
      </c>
      <c r="O7" s="6">
        <f t="shared" si="1"/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f t="shared" ref="W7" si="24">+W8+W21+W34</f>
        <v>6758144957</v>
      </c>
      <c r="X7" s="6">
        <f t="shared" ref="X7:AE7" si="25">+X8+X21+X34</f>
        <v>0</v>
      </c>
      <c r="Y7" s="6">
        <f t="shared" si="25"/>
        <v>0</v>
      </c>
      <c r="Z7" s="6">
        <f t="shared" si="25"/>
        <v>0</v>
      </c>
      <c r="AA7" s="6">
        <f t="shared" si="25"/>
        <v>0</v>
      </c>
      <c r="AB7" s="6">
        <f t="shared" si="25"/>
        <v>0</v>
      </c>
      <c r="AC7" s="6">
        <f t="shared" si="25"/>
        <v>0</v>
      </c>
      <c r="AD7" s="6">
        <f t="shared" si="25"/>
        <v>0</v>
      </c>
      <c r="AE7" s="6">
        <f t="shared" si="25"/>
        <v>0</v>
      </c>
      <c r="AF7" s="6">
        <f t="shared" si="20"/>
        <v>27773469483</v>
      </c>
      <c r="AG7" s="6">
        <f t="shared" si="21"/>
        <v>27773469483</v>
      </c>
      <c r="AI7" s="174">
        <f t="shared" si="22"/>
        <v>0.18928194580157762</v>
      </c>
      <c r="AJ7" s="174">
        <f t="shared" si="4"/>
        <v>0.15777315526485472</v>
      </c>
      <c r="AK7" s="174">
        <f t="shared" si="5"/>
        <v>0.22734366162106334</v>
      </c>
      <c r="AL7" s="174">
        <f t="shared" si="6"/>
        <v>-9.7568092684030619E-3</v>
      </c>
      <c r="AM7" s="174">
        <f t="shared" si="7"/>
        <v>1</v>
      </c>
      <c r="AN7" s="174">
        <f t="shared" si="8"/>
        <v>1</v>
      </c>
      <c r="AO7" s="174">
        <f t="shared" si="9"/>
        <v>1</v>
      </c>
      <c r="AP7" s="174">
        <f t="shared" si="10"/>
        <v>1</v>
      </c>
      <c r="AQ7" s="174">
        <f t="shared" si="11"/>
        <v>1</v>
      </c>
      <c r="AR7" s="174">
        <f t="shared" si="12"/>
        <v>1</v>
      </c>
      <c r="AS7" s="174">
        <f t="shared" si="13"/>
        <v>1</v>
      </c>
      <c r="AT7" s="174">
        <f t="shared" si="14"/>
        <v>1</v>
      </c>
      <c r="AU7" s="174">
        <f t="shared" si="15"/>
        <v>-7.6670926665752384E-2</v>
      </c>
      <c r="AV7" s="174">
        <f t="shared" si="16"/>
        <v>0.67719432982217798</v>
      </c>
    </row>
    <row r="8" spans="1:48" x14ac:dyDescent="0.25">
      <c r="A8" s="4" t="s">
        <v>13</v>
      </c>
      <c r="B8" s="5" t="s">
        <v>14</v>
      </c>
      <c r="C8" s="6">
        <f t="shared" ref="C8:N8" si="26">+C9+C19</f>
        <v>5300310729.1328421</v>
      </c>
      <c r="D8" s="6">
        <f t="shared" si="26"/>
        <v>5300310729.1328421</v>
      </c>
      <c r="E8" s="6">
        <f t="shared" si="26"/>
        <v>5300310729.1328421</v>
      </c>
      <c r="F8" s="6">
        <f t="shared" si="26"/>
        <v>5300310729.1328421</v>
      </c>
      <c r="G8" s="6">
        <f t="shared" si="26"/>
        <v>5300310729.1328421</v>
      </c>
      <c r="H8" s="6">
        <f t="shared" si="26"/>
        <v>5300310729.9828415</v>
      </c>
      <c r="I8" s="6">
        <f t="shared" si="26"/>
        <v>5300310729.1328421</v>
      </c>
      <c r="J8" s="6">
        <f t="shared" si="26"/>
        <v>5300310729.1328421</v>
      </c>
      <c r="K8" s="6">
        <f t="shared" si="26"/>
        <v>5300310729.1328421</v>
      </c>
      <c r="L8" s="6">
        <f t="shared" si="26"/>
        <v>5300310728.3828421</v>
      </c>
      <c r="M8" s="6">
        <f t="shared" si="26"/>
        <v>5300310729.1328421</v>
      </c>
      <c r="N8" s="6">
        <f t="shared" si="26"/>
        <v>5300310729.1328421</v>
      </c>
      <c r="O8" s="6">
        <f t="shared" si="1"/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f t="shared" ref="W8" si="27">+W9+W19</f>
        <v>4996472740</v>
      </c>
      <c r="X8" s="6">
        <f t="shared" ref="X8:AE8" si="28">+X9+X19</f>
        <v>0</v>
      </c>
      <c r="Y8" s="6">
        <f t="shared" si="28"/>
        <v>0</v>
      </c>
      <c r="Z8" s="6">
        <f t="shared" si="28"/>
        <v>0</v>
      </c>
      <c r="AA8" s="6">
        <f t="shared" si="28"/>
        <v>0</v>
      </c>
      <c r="AB8" s="6">
        <f t="shared" si="28"/>
        <v>0</v>
      </c>
      <c r="AC8" s="6">
        <f t="shared" si="28"/>
        <v>0</v>
      </c>
      <c r="AD8" s="6">
        <f t="shared" si="28"/>
        <v>0</v>
      </c>
      <c r="AE8" s="6">
        <f t="shared" si="28"/>
        <v>0</v>
      </c>
      <c r="AF8" s="6">
        <f t="shared" si="20"/>
        <v>16918628627</v>
      </c>
      <c r="AG8" s="6">
        <f t="shared" si="21"/>
        <v>16918628627</v>
      </c>
      <c r="AI8" s="174">
        <f t="shared" si="22"/>
        <v>0.24443586203573514</v>
      </c>
      <c r="AJ8" s="174">
        <f t="shared" si="4"/>
        <v>0.2639303013772008</v>
      </c>
      <c r="AK8" s="174">
        <f t="shared" si="5"/>
        <v>0.2423023357996516</v>
      </c>
      <c r="AL8" s="174">
        <f t="shared" si="6"/>
        <v>5.7324561645568185E-2</v>
      </c>
      <c r="AM8" s="174">
        <f t="shared" si="7"/>
        <v>1</v>
      </c>
      <c r="AN8" s="174">
        <f t="shared" si="8"/>
        <v>1</v>
      </c>
      <c r="AO8" s="174">
        <f t="shared" si="9"/>
        <v>1</v>
      </c>
      <c r="AP8" s="174">
        <f t="shared" si="10"/>
        <v>1</v>
      </c>
      <c r="AQ8" s="174">
        <f t="shared" si="11"/>
        <v>1</v>
      </c>
      <c r="AR8" s="174">
        <f t="shared" si="12"/>
        <v>1</v>
      </c>
      <c r="AS8" s="174">
        <f t="shared" si="13"/>
        <v>1</v>
      </c>
      <c r="AT8" s="174">
        <f t="shared" si="14"/>
        <v>1</v>
      </c>
      <c r="AU8" s="174">
        <f t="shared" si="15"/>
        <v>-6.4002313047281489E-2</v>
      </c>
      <c r="AV8" s="174">
        <f t="shared" si="16"/>
        <v>0.73399942173859789</v>
      </c>
    </row>
    <row r="9" spans="1:48" x14ac:dyDescent="0.25">
      <c r="A9" s="7" t="s">
        <v>15</v>
      </c>
      <c r="B9" s="8" t="s">
        <v>16</v>
      </c>
      <c r="C9" s="9">
        <f t="shared" ref="C9:N9" si="29">SUM(C10:C18)</f>
        <v>5293415749.6078424</v>
      </c>
      <c r="D9" s="9">
        <f t="shared" si="29"/>
        <v>5293415749.6078424</v>
      </c>
      <c r="E9" s="9">
        <f t="shared" si="29"/>
        <v>5293415749.6078424</v>
      </c>
      <c r="F9" s="9">
        <f t="shared" si="29"/>
        <v>5293415749.6078424</v>
      </c>
      <c r="G9" s="9">
        <f t="shared" si="29"/>
        <v>5293415749.6078424</v>
      </c>
      <c r="H9" s="9">
        <f t="shared" si="29"/>
        <v>5293415750.4578419</v>
      </c>
      <c r="I9" s="9">
        <f t="shared" si="29"/>
        <v>5293415749.6078424</v>
      </c>
      <c r="J9" s="9">
        <f t="shared" si="29"/>
        <v>5293415749.6078424</v>
      </c>
      <c r="K9" s="9">
        <f t="shared" si="29"/>
        <v>5293415749.6078424</v>
      </c>
      <c r="L9" s="9">
        <f t="shared" si="29"/>
        <v>5293415748.8578424</v>
      </c>
      <c r="M9" s="9">
        <f t="shared" si="29"/>
        <v>5293415749.6078424</v>
      </c>
      <c r="N9" s="9">
        <f t="shared" si="29"/>
        <v>5293415749.6078424</v>
      </c>
      <c r="O9" s="9">
        <f t="shared" si="1"/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f t="shared" ref="W9" si="30">SUM(W10:W18)</f>
        <v>4988790361</v>
      </c>
      <c r="X9" s="9">
        <f t="shared" ref="X9:AE9" si="31">SUM(X10:X18)</f>
        <v>0</v>
      </c>
      <c r="Y9" s="9">
        <f t="shared" si="31"/>
        <v>0</v>
      </c>
      <c r="Z9" s="9">
        <f t="shared" si="31"/>
        <v>0</v>
      </c>
      <c r="AA9" s="9">
        <f t="shared" si="31"/>
        <v>0</v>
      </c>
      <c r="AB9" s="9">
        <f t="shared" si="31"/>
        <v>0</v>
      </c>
      <c r="AC9" s="9">
        <f t="shared" si="31"/>
        <v>0</v>
      </c>
      <c r="AD9" s="9">
        <f t="shared" si="31"/>
        <v>0</v>
      </c>
      <c r="AE9" s="9">
        <f t="shared" si="31"/>
        <v>0</v>
      </c>
      <c r="AF9" s="9">
        <f t="shared" si="20"/>
        <v>16890556121</v>
      </c>
      <c r="AG9" s="9">
        <f t="shared" si="21"/>
        <v>16890556121</v>
      </c>
      <c r="AI9" s="175">
        <f t="shared" si="22"/>
        <v>0.24472925042848087</v>
      </c>
      <c r="AJ9" s="175">
        <f t="shared" si="4"/>
        <v>0.26424889348838121</v>
      </c>
      <c r="AK9" s="175">
        <f t="shared" si="5"/>
        <v>0.24261245032623496</v>
      </c>
      <c r="AL9" s="175">
        <f t="shared" si="6"/>
        <v>5.754798092902684E-2</v>
      </c>
      <c r="AM9" s="175">
        <f t="shared" si="7"/>
        <v>1</v>
      </c>
      <c r="AN9" s="175">
        <f t="shared" si="8"/>
        <v>1</v>
      </c>
      <c r="AO9" s="175">
        <f t="shared" si="9"/>
        <v>1</v>
      </c>
      <c r="AP9" s="175">
        <f t="shared" si="10"/>
        <v>1</v>
      </c>
      <c r="AQ9" s="175">
        <f t="shared" si="11"/>
        <v>1</v>
      </c>
      <c r="AR9" s="175">
        <f t="shared" si="12"/>
        <v>1</v>
      </c>
      <c r="AS9" s="175">
        <f t="shared" si="13"/>
        <v>1</v>
      </c>
      <c r="AT9" s="175">
        <f t="shared" si="14"/>
        <v>1</v>
      </c>
      <c r="AU9" s="175">
        <f t="shared" si="15"/>
        <v>-6.3620474942625307E-2</v>
      </c>
      <c r="AV9" s="175">
        <f t="shared" si="16"/>
        <v>0.7340948812647623</v>
      </c>
    </row>
    <row r="10" spans="1:48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32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61">
        <v>3147471619</v>
      </c>
      <c r="X10" s="21"/>
      <c r="Y10" s="21"/>
      <c r="Z10" s="21"/>
      <c r="AA10" s="21"/>
      <c r="AB10" s="21"/>
      <c r="AC10" s="21"/>
      <c r="AD10" s="21"/>
      <c r="AE10" s="21"/>
      <c r="AF10" s="261">
        <f t="shared" si="20"/>
        <v>10565984100</v>
      </c>
      <c r="AG10" s="21">
        <f t="shared" si="21"/>
        <v>10565984100</v>
      </c>
      <c r="AI10" s="176">
        <f t="shared" si="22"/>
        <v>0.15056055682456679</v>
      </c>
      <c r="AJ10" s="176">
        <f t="shared" si="4"/>
        <v>0.15496987837768766</v>
      </c>
      <c r="AK10" s="176">
        <f t="shared" si="5"/>
        <v>0.15354643258281006</v>
      </c>
      <c r="AL10" s="176">
        <f t="shared" si="6"/>
        <v>-7.8044077595061212E-2</v>
      </c>
      <c r="AM10" s="176">
        <f t="shared" si="7"/>
        <v>1</v>
      </c>
      <c r="AN10" s="176">
        <f t="shared" si="8"/>
        <v>1</v>
      </c>
      <c r="AO10" s="176">
        <f t="shared" si="9"/>
        <v>1</v>
      </c>
      <c r="AP10" s="176">
        <f t="shared" si="10"/>
        <v>1</v>
      </c>
      <c r="AQ10" s="176">
        <f t="shared" si="11"/>
        <v>1</v>
      </c>
      <c r="AR10" s="176">
        <f t="shared" si="12"/>
        <v>1</v>
      </c>
      <c r="AS10" s="176">
        <f t="shared" si="13"/>
        <v>1</v>
      </c>
      <c r="AT10" s="176">
        <f t="shared" si="14"/>
        <v>1</v>
      </c>
      <c r="AU10" s="176">
        <f t="shared" si="15"/>
        <v>9.5258197547500825E-2</v>
      </c>
      <c r="AV10" s="176">
        <f t="shared" si="16"/>
        <v>0.69841939918250029</v>
      </c>
    </row>
    <row r="11" spans="1:48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33">+C11+D11+E11+F11</f>
        <v>4726274287</v>
      </c>
      <c r="P11" s="21">
        <f t="shared" si="32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61">
        <v>1489375970</v>
      </c>
      <c r="X11" s="21"/>
      <c r="Y11" s="21"/>
      <c r="Z11" s="21"/>
      <c r="AA11" s="21"/>
      <c r="AB11" s="21"/>
      <c r="AC11" s="21"/>
      <c r="AD11" s="21"/>
      <c r="AE11" s="21"/>
      <c r="AF11" s="261">
        <f t="shared" si="20"/>
        <v>4936033053</v>
      </c>
      <c r="AG11" s="21">
        <f t="shared" si="21"/>
        <v>4936033053</v>
      </c>
      <c r="AI11" s="176">
        <f t="shared" si="22"/>
        <v>2.6526002383069056E-2</v>
      </c>
      <c r="AJ11" s="176">
        <f t="shared" si="4"/>
        <v>2.5085115209268854E-2</v>
      </c>
      <c r="AK11" s="176">
        <f t="shared" si="5"/>
        <v>3.1370636149454609E-2</v>
      </c>
      <c r="AL11" s="176">
        <f t="shared" si="6"/>
        <v>-0.26050743529350312</v>
      </c>
      <c r="AM11" s="176">
        <f t="shared" si="7"/>
        <v>1</v>
      </c>
      <c r="AN11" s="176">
        <f t="shared" si="8"/>
        <v>1</v>
      </c>
      <c r="AO11" s="176">
        <f t="shared" si="9"/>
        <v>1</v>
      </c>
      <c r="AP11" s="176">
        <f t="shared" si="10"/>
        <v>1</v>
      </c>
      <c r="AQ11" s="176">
        <f t="shared" si="11"/>
        <v>1</v>
      </c>
      <c r="AR11" s="176">
        <f t="shared" si="12"/>
        <v>1</v>
      </c>
      <c r="AS11" s="176">
        <f t="shared" si="13"/>
        <v>1</v>
      </c>
      <c r="AT11" s="176">
        <f t="shared" si="14"/>
        <v>1</v>
      </c>
      <c r="AU11" s="176">
        <f t="shared" si="15"/>
        <v>-4.4381420387927646E-2</v>
      </c>
      <c r="AV11" s="176">
        <f t="shared" si="16"/>
        <v>0.65187285985227628</v>
      </c>
    </row>
    <row r="12" spans="1:48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33"/>
        <v>94322248.299999967</v>
      </c>
      <c r="P12" s="21">
        <f t="shared" si="32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61">
        <v>27263513</v>
      </c>
      <c r="X12" s="21"/>
      <c r="Y12" s="21"/>
      <c r="Z12" s="21"/>
      <c r="AA12" s="21"/>
      <c r="AB12" s="21"/>
      <c r="AC12" s="21"/>
      <c r="AD12" s="21"/>
      <c r="AE12" s="21"/>
      <c r="AF12" s="261">
        <f t="shared" si="20"/>
        <v>96899965</v>
      </c>
      <c r="AG12" s="21">
        <f t="shared" si="21"/>
        <v>96899965</v>
      </c>
      <c r="AI12" s="176">
        <f t="shared" si="22"/>
        <v>7.7688991007649352E-2</v>
      </c>
      <c r="AJ12" s="176">
        <f t="shared" si="4"/>
        <v>8.5945452383793211E-2</v>
      </c>
      <c r="AK12" s="176">
        <f t="shared" si="5"/>
        <v>-0.11676388019262299</v>
      </c>
      <c r="AL12" s="176">
        <f t="shared" si="6"/>
        <v>-0.15618588366494693</v>
      </c>
      <c r="AM12" s="176">
        <f t="shared" si="7"/>
        <v>1</v>
      </c>
      <c r="AN12" s="176">
        <f t="shared" si="8"/>
        <v>1</v>
      </c>
      <c r="AO12" s="176">
        <f t="shared" si="9"/>
        <v>1</v>
      </c>
      <c r="AP12" s="176">
        <f t="shared" si="10"/>
        <v>1</v>
      </c>
      <c r="AQ12" s="176">
        <f t="shared" si="11"/>
        <v>1</v>
      </c>
      <c r="AR12" s="176">
        <f t="shared" si="12"/>
        <v>1</v>
      </c>
      <c r="AS12" s="176">
        <f t="shared" si="13"/>
        <v>1</v>
      </c>
      <c r="AT12" s="176">
        <f t="shared" si="14"/>
        <v>1</v>
      </c>
      <c r="AU12" s="176">
        <f t="shared" si="15"/>
        <v>-2.7328830116531835E-2</v>
      </c>
      <c r="AV12" s="176">
        <f t="shared" si="16"/>
        <v>0.65755705662782271</v>
      </c>
    </row>
    <row r="13" spans="1:48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33"/>
        <v>95939661.649999991</v>
      </c>
      <c r="P13" s="21">
        <f t="shared" si="32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61">
        <v>52344255</v>
      </c>
      <c r="X13" s="21"/>
      <c r="Y13" s="21"/>
      <c r="Z13" s="21"/>
      <c r="AA13" s="21"/>
      <c r="AB13" s="21"/>
      <c r="AC13" s="21"/>
      <c r="AD13" s="21"/>
      <c r="AE13" s="21"/>
      <c r="AF13" s="261">
        <f t="shared" si="20"/>
        <v>133243302</v>
      </c>
      <c r="AG13" s="21">
        <f t="shared" si="21"/>
        <v>133243302</v>
      </c>
      <c r="AI13" s="176">
        <f t="shared" si="22"/>
        <v>-5.8937943419357569E-2</v>
      </c>
      <c r="AJ13" s="176">
        <f t="shared" si="4"/>
        <v>-5.6853341529373734E-2</v>
      </c>
      <c r="AK13" s="176">
        <f t="shared" si="5"/>
        <v>-0.25712229880477183</v>
      </c>
      <c r="AL13" s="176">
        <f t="shared" si="6"/>
        <v>-1.1823823057020342</v>
      </c>
      <c r="AM13" s="176">
        <f t="shared" si="7"/>
        <v>1</v>
      </c>
      <c r="AN13" s="176">
        <f t="shared" si="8"/>
        <v>1</v>
      </c>
      <c r="AO13" s="176">
        <f t="shared" si="9"/>
        <v>1</v>
      </c>
      <c r="AP13" s="176">
        <f t="shared" si="10"/>
        <v>1</v>
      </c>
      <c r="AQ13" s="176">
        <f t="shared" si="11"/>
        <v>1</v>
      </c>
      <c r="AR13" s="176">
        <f t="shared" si="12"/>
        <v>1</v>
      </c>
      <c r="AS13" s="176">
        <f t="shared" si="13"/>
        <v>1</v>
      </c>
      <c r="AT13" s="176">
        <f t="shared" si="14"/>
        <v>1</v>
      </c>
      <c r="AU13" s="176">
        <f t="shared" si="15"/>
        <v>-0.38882397236388433</v>
      </c>
      <c r="AV13" s="176">
        <f t="shared" si="16"/>
        <v>0.53705867587870526</v>
      </c>
    </row>
    <row r="14" spans="1:48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33"/>
        <v>1300614324.4500003</v>
      </c>
      <c r="P14" s="21">
        <f t="shared" si="32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61">
        <v>0</v>
      </c>
      <c r="X14" s="21"/>
      <c r="Y14" s="21"/>
      <c r="Z14" s="21"/>
      <c r="AA14" s="21"/>
      <c r="AB14" s="21"/>
      <c r="AC14" s="21"/>
      <c r="AD14" s="21"/>
      <c r="AE14" s="21"/>
      <c r="AF14" s="261">
        <f t="shared" si="20"/>
        <v>30656</v>
      </c>
      <c r="AG14" s="21">
        <f t="shared" si="21"/>
        <v>30656</v>
      </c>
      <c r="AI14" s="176">
        <f t="shared" si="22"/>
        <v>0.99990571839960951</v>
      </c>
      <c r="AJ14" s="176">
        <f t="shared" si="4"/>
        <v>1</v>
      </c>
      <c r="AK14" s="176">
        <f t="shared" si="5"/>
        <v>1</v>
      </c>
      <c r="AL14" s="176">
        <f t="shared" si="6"/>
        <v>1</v>
      </c>
      <c r="AM14" s="176">
        <f t="shared" si="7"/>
        <v>1</v>
      </c>
      <c r="AN14" s="176">
        <f t="shared" si="8"/>
        <v>1</v>
      </c>
      <c r="AO14" s="176">
        <f t="shared" si="9"/>
        <v>1</v>
      </c>
      <c r="AP14" s="176">
        <f t="shared" si="10"/>
        <v>1</v>
      </c>
      <c r="AQ14" s="176">
        <f t="shared" si="11"/>
        <v>1</v>
      </c>
      <c r="AR14" s="176">
        <f t="shared" si="12"/>
        <v>1</v>
      </c>
      <c r="AS14" s="176">
        <f t="shared" si="13"/>
        <v>1</v>
      </c>
      <c r="AT14" s="176">
        <f t="shared" si="14"/>
        <v>1</v>
      </c>
      <c r="AU14" s="176">
        <f t="shared" si="15"/>
        <v>0.99997642959990241</v>
      </c>
      <c r="AV14" s="176">
        <f t="shared" si="16"/>
        <v>0.99999214319996743</v>
      </c>
    </row>
    <row r="15" spans="1:48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33"/>
        <v>626580357.89999986</v>
      </c>
      <c r="P15" s="21">
        <f t="shared" si="32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61">
        <v>100405634</v>
      </c>
      <c r="X15" s="21"/>
      <c r="Y15" s="21"/>
      <c r="Z15" s="21"/>
      <c r="AA15" s="21"/>
      <c r="AB15" s="21"/>
      <c r="AC15" s="21"/>
      <c r="AD15" s="21"/>
      <c r="AE15" s="21"/>
      <c r="AF15" s="261">
        <f t="shared" si="20"/>
        <v>646508613</v>
      </c>
      <c r="AG15" s="21">
        <f t="shared" si="21"/>
        <v>646508613</v>
      </c>
      <c r="AI15" s="176">
        <f t="shared" si="22"/>
        <v>-0.56223613405421147</v>
      </c>
      <c r="AJ15" s="176">
        <f t="shared" si="4"/>
        <v>0.20827920992829432</v>
      </c>
      <c r="AK15" s="176">
        <f t="shared" si="5"/>
        <v>-0.13228692067175979</v>
      </c>
      <c r="AL15" s="176">
        <f t="shared" si="6"/>
        <v>0.35902469501909023</v>
      </c>
      <c r="AM15" s="176">
        <f t="shared" si="7"/>
        <v>1</v>
      </c>
      <c r="AN15" s="176">
        <f t="shared" si="8"/>
        <v>1</v>
      </c>
      <c r="AO15" s="176">
        <f t="shared" si="9"/>
        <v>1</v>
      </c>
      <c r="AP15" s="176">
        <f t="shared" si="10"/>
        <v>1</v>
      </c>
      <c r="AQ15" s="176">
        <f t="shared" si="11"/>
        <v>1</v>
      </c>
      <c r="AR15" s="176">
        <f t="shared" si="12"/>
        <v>1</v>
      </c>
      <c r="AS15" s="176">
        <f t="shared" si="13"/>
        <v>1</v>
      </c>
      <c r="AT15" s="176">
        <f t="shared" si="14"/>
        <v>1</v>
      </c>
      <c r="AU15" s="176">
        <f t="shared" si="15"/>
        <v>-3.1804787444646689E-2</v>
      </c>
      <c r="AV15" s="176">
        <f t="shared" si="16"/>
        <v>0.65606507085178434</v>
      </c>
    </row>
    <row r="16" spans="1:48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33"/>
        <v>333961340.65000004</v>
      </c>
      <c r="P16" s="21">
        <f t="shared" si="32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61">
        <v>168354466</v>
      </c>
      <c r="X16" s="21"/>
      <c r="Y16" s="21"/>
      <c r="Z16" s="21"/>
      <c r="AA16" s="21"/>
      <c r="AB16" s="21"/>
      <c r="AC16" s="21"/>
      <c r="AD16" s="21"/>
      <c r="AE16" s="21"/>
      <c r="AF16" s="261">
        <f t="shared" si="20"/>
        <v>501703036</v>
      </c>
      <c r="AG16" s="21">
        <f t="shared" si="21"/>
        <v>501703036</v>
      </c>
      <c r="AI16" s="176">
        <f t="shared" si="22"/>
        <v>0.12147536769088614</v>
      </c>
      <c r="AJ16" s="176">
        <f t="shared" si="4"/>
        <v>-0.22846116020944282</v>
      </c>
      <c r="AK16" s="176">
        <f t="shared" si="5"/>
        <v>-0.88567478731014593</v>
      </c>
      <c r="AL16" s="176">
        <f t="shared" si="6"/>
        <v>-1.0164545473715745</v>
      </c>
      <c r="AM16" s="176">
        <f t="shared" si="7"/>
        <v>1</v>
      </c>
      <c r="AN16" s="176">
        <f t="shared" si="8"/>
        <v>1</v>
      </c>
      <c r="AO16" s="176">
        <f t="shared" si="9"/>
        <v>1</v>
      </c>
      <c r="AP16" s="176">
        <f t="shared" si="10"/>
        <v>1</v>
      </c>
      <c r="AQ16" s="176">
        <f t="shared" si="11"/>
        <v>1</v>
      </c>
      <c r="AR16" s="176">
        <f t="shared" si="12"/>
        <v>1</v>
      </c>
      <c r="AS16" s="176">
        <f t="shared" si="13"/>
        <v>1</v>
      </c>
      <c r="AT16" s="176">
        <f t="shared" si="14"/>
        <v>1</v>
      </c>
      <c r="AU16" s="176">
        <f t="shared" si="15"/>
        <v>-0.50227878180006924</v>
      </c>
      <c r="AV16" s="176">
        <f t="shared" si="16"/>
        <v>0.49924040649148888</v>
      </c>
    </row>
    <row r="17" spans="1:48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33"/>
        <v>1428074900</v>
      </c>
      <c r="P17" s="21">
        <f t="shared" si="32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61">
        <v>0</v>
      </c>
      <c r="X17" s="21"/>
      <c r="Y17" s="21"/>
      <c r="Z17" s="21"/>
      <c r="AA17" s="21"/>
      <c r="AB17" s="21"/>
      <c r="AC17" s="21"/>
      <c r="AD17" s="21"/>
      <c r="AE17" s="21"/>
      <c r="AF17" s="261">
        <f t="shared" si="20"/>
        <v>398419</v>
      </c>
      <c r="AG17" s="21">
        <f t="shared" si="21"/>
        <v>398419</v>
      </c>
      <c r="AI17" s="176">
        <f t="shared" si="22"/>
        <v>0.99888403892540933</v>
      </c>
      <c r="AJ17" s="176">
        <f t="shared" si="4"/>
        <v>1</v>
      </c>
      <c r="AK17" s="176">
        <f t="shared" si="5"/>
        <v>1</v>
      </c>
      <c r="AL17" s="176">
        <f t="shared" si="6"/>
        <v>1</v>
      </c>
      <c r="AM17" s="176">
        <f t="shared" si="7"/>
        <v>1</v>
      </c>
      <c r="AN17" s="176">
        <f t="shared" si="8"/>
        <v>1</v>
      </c>
      <c r="AO17" s="176">
        <f t="shared" si="9"/>
        <v>1</v>
      </c>
      <c r="AP17" s="176">
        <f t="shared" si="10"/>
        <v>1</v>
      </c>
      <c r="AQ17" s="176">
        <f t="shared" si="11"/>
        <v>1</v>
      </c>
      <c r="AR17" s="176">
        <f t="shared" si="12"/>
        <v>1</v>
      </c>
      <c r="AS17" s="176">
        <f t="shared" si="13"/>
        <v>1</v>
      </c>
      <c r="AT17" s="176">
        <f t="shared" si="14"/>
        <v>1</v>
      </c>
      <c r="AU17" s="176">
        <f t="shared" si="15"/>
        <v>0.99972100973135236</v>
      </c>
      <c r="AV17" s="176">
        <f t="shared" si="16"/>
        <v>0.99990700324378412</v>
      </c>
    </row>
    <row r="18" spans="1:48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33"/>
        <v>889443450</v>
      </c>
      <c r="P18" s="21">
        <f t="shared" si="32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61">
        <v>3574904</v>
      </c>
      <c r="X18" s="21"/>
      <c r="Y18" s="21"/>
      <c r="Z18" s="21"/>
      <c r="AA18" s="21"/>
      <c r="AB18" s="21"/>
      <c r="AC18" s="21"/>
      <c r="AD18" s="21"/>
      <c r="AE18" s="21"/>
      <c r="AF18" s="261">
        <f t="shared" si="20"/>
        <v>9754977</v>
      </c>
      <c r="AG18" s="21">
        <f t="shared" si="21"/>
        <v>9754977</v>
      </c>
      <c r="AI18" s="176">
        <f t="shared" si="22"/>
        <v>0.99073528957911827</v>
      </c>
      <c r="AJ18" s="176">
        <f t="shared" si="4"/>
        <v>0.99073388195730716</v>
      </c>
      <c r="AK18" s="176">
        <f t="shared" si="5"/>
        <v>0.99073783948827776</v>
      </c>
      <c r="AL18" s="176">
        <f t="shared" si="6"/>
        <v>0.98392296216246233</v>
      </c>
      <c r="AM18" s="176">
        <f t="shared" si="7"/>
        <v>1</v>
      </c>
      <c r="AN18" s="176">
        <f t="shared" si="8"/>
        <v>1</v>
      </c>
      <c r="AO18" s="176">
        <f t="shared" si="9"/>
        <v>1</v>
      </c>
      <c r="AP18" s="176">
        <f t="shared" si="10"/>
        <v>1</v>
      </c>
      <c r="AQ18" s="176">
        <f t="shared" si="11"/>
        <v>1</v>
      </c>
      <c r="AR18" s="176">
        <f t="shared" si="12"/>
        <v>1</v>
      </c>
      <c r="AS18" s="176">
        <f t="shared" si="13"/>
        <v>1</v>
      </c>
      <c r="AT18" s="176">
        <f t="shared" si="14"/>
        <v>1</v>
      </c>
      <c r="AU18" s="176">
        <f t="shared" si="15"/>
        <v>0.98903249329679133</v>
      </c>
      <c r="AV18" s="176">
        <f t="shared" si="16"/>
        <v>0.99634416443226381</v>
      </c>
    </row>
    <row r="19" spans="1:48" x14ac:dyDescent="0.25">
      <c r="A19" s="7" t="s">
        <v>35</v>
      </c>
      <c r="B19" s="8" t="s">
        <v>36</v>
      </c>
      <c r="C19" s="9">
        <f t="shared" ref="C19:N19" si="34">SUM(C20:C20)</f>
        <v>6894979.5250000013</v>
      </c>
      <c r="D19" s="9">
        <f t="shared" si="34"/>
        <v>6894979.5250000013</v>
      </c>
      <c r="E19" s="9">
        <f t="shared" si="34"/>
        <v>6894979.5250000013</v>
      </c>
      <c r="F19" s="9">
        <f t="shared" si="34"/>
        <v>6894979.5250000013</v>
      </c>
      <c r="G19" s="9">
        <f t="shared" si="34"/>
        <v>6894979.5250000013</v>
      </c>
      <c r="H19" s="9">
        <f t="shared" si="34"/>
        <v>6894979.5250000013</v>
      </c>
      <c r="I19" s="9">
        <f t="shared" si="34"/>
        <v>6894979.5250000013</v>
      </c>
      <c r="J19" s="9">
        <f t="shared" si="34"/>
        <v>6894979.5250000013</v>
      </c>
      <c r="K19" s="9">
        <f t="shared" si="34"/>
        <v>6894979.5250000013</v>
      </c>
      <c r="L19" s="9">
        <f t="shared" si="34"/>
        <v>6894979.5250000013</v>
      </c>
      <c r="M19" s="9">
        <f t="shared" si="34"/>
        <v>6894979.5250000013</v>
      </c>
      <c r="N19" s="9">
        <f t="shared" si="34"/>
        <v>6894979.5250000013</v>
      </c>
      <c r="O19" s="9">
        <f t="shared" si="33"/>
        <v>27579918.100000005</v>
      </c>
      <c r="P19" s="9">
        <f t="shared" si="32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f t="shared" ref="W19" si="35">+W20</f>
        <v>7682379</v>
      </c>
      <c r="X19" s="9"/>
      <c r="Y19" s="9"/>
      <c r="Z19" s="9"/>
      <c r="AA19" s="9"/>
      <c r="AB19" s="9"/>
      <c r="AC19" s="9"/>
      <c r="AD19" s="9"/>
      <c r="AE19" s="9"/>
      <c r="AF19" s="9">
        <f t="shared" si="20"/>
        <v>28072506</v>
      </c>
      <c r="AG19" s="9">
        <f t="shared" si="21"/>
        <v>28072506</v>
      </c>
      <c r="AI19" s="175">
        <f t="shared" si="22"/>
        <v>1.919563713280226E-2</v>
      </c>
      <c r="AJ19" s="175">
        <f t="shared" si="4"/>
        <v>1.9340670195826474E-2</v>
      </c>
      <c r="AK19" s="175">
        <f t="shared" si="5"/>
        <v>4.2211184086150422E-3</v>
      </c>
      <c r="AL19" s="175">
        <f t="shared" si="6"/>
        <v>-0.11419895768290894</v>
      </c>
      <c r="AM19" s="175">
        <f t="shared" si="7"/>
        <v>1</v>
      </c>
      <c r="AN19" s="175">
        <f t="shared" si="8"/>
        <v>1</v>
      </c>
      <c r="AO19" s="175">
        <f t="shared" si="9"/>
        <v>1</v>
      </c>
      <c r="AP19" s="175">
        <f t="shared" si="10"/>
        <v>1</v>
      </c>
      <c r="AQ19" s="175">
        <f t="shared" si="11"/>
        <v>1</v>
      </c>
      <c r="AR19" s="175">
        <f t="shared" si="12"/>
        <v>1</v>
      </c>
      <c r="AS19" s="175">
        <f t="shared" si="13"/>
        <v>1</v>
      </c>
      <c r="AT19" s="175">
        <f t="shared" si="14"/>
        <v>1</v>
      </c>
      <c r="AU19" s="175">
        <f t="shared" si="15"/>
        <v>-1.786038298641629E-2</v>
      </c>
      <c r="AV19" s="175">
        <f t="shared" si="16"/>
        <v>0.66071320567119451</v>
      </c>
    </row>
    <row r="20" spans="1:48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33"/>
        <v>27579918.100000005</v>
      </c>
      <c r="P20" s="21">
        <f t="shared" si="32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61">
        <v>7682379</v>
      </c>
      <c r="X20" s="21"/>
      <c r="Y20" s="21"/>
      <c r="Z20" s="21"/>
      <c r="AA20" s="21"/>
      <c r="AB20" s="21"/>
      <c r="AC20" s="21"/>
      <c r="AD20" s="21"/>
      <c r="AE20" s="21"/>
      <c r="AF20" s="261">
        <f t="shared" si="20"/>
        <v>28072506</v>
      </c>
      <c r="AG20" s="21">
        <f t="shared" si="21"/>
        <v>28072506</v>
      </c>
      <c r="AI20" s="176">
        <f t="shared" si="22"/>
        <v>1.919563713280226E-2</v>
      </c>
      <c r="AJ20" s="176">
        <f t="shared" si="4"/>
        <v>1.9340670195826474E-2</v>
      </c>
      <c r="AK20" s="176">
        <f t="shared" si="5"/>
        <v>4.2211184086150422E-3</v>
      </c>
      <c r="AL20" s="176">
        <f t="shared" si="6"/>
        <v>-0.11419895768290894</v>
      </c>
      <c r="AM20" s="176">
        <f t="shared" si="7"/>
        <v>1</v>
      </c>
      <c r="AN20" s="176">
        <f t="shared" si="8"/>
        <v>1</v>
      </c>
      <c r="AO20" s="176">
        <f t="shared" si="9"/>
        <v>1</v>
      </c>
      <c r="AP20" s="176">
        <f t="shared" si="10"/>
        <v>1</v>
      </c>
      <c r="AQ20" s="176">
        <f t="shared" si="11"/>
        <v>1</v>
      </c>
      <c r="AR20" s="176">
        <f t="shared" si="12"/>
        <v>1</v>
      </c>
      <c r="AS20" s="176">
        <f t="shared" si="13"/>
        <v>1</v>
      </c>
      <c r="AT20" s="176">
        <f t="shared" si="14"/>
        <v>1</v>
      </c>
      <c r="AU20" s="176">
        <f t="shared" si="15"/>
        <v>-1.786038298641629E-2</v>
      </c>
      <c r="AV20" s="176">
        <f t="shared" si="16"/>
        <v>0.66071320567119451</v>
      </c>
    </row>
    <row r="21" spans="1:48" x14ac:dyDescent="0.25">
      <c r="A21" s="4" t="s">
        <v>39</v>
      </c>
      <c r="B21" s="5" t="s">
        <v>40</v>
      </c>
      <c r="C21" s="6">
        <f t="shared" ref="C21:N21" si="36">+C22+C24+C26+C28+C30+C32</f>
        <v>1754601618.1253073</v>
      </c>
      <c r="D21" s="6">
        <f t="shared" si="36"/>
        <v>6138900104.2660875</v>
      </c>
      <c r="E21" s="6">
        <f t="shared" si="36"/>
        <v>1210904778.1253073</v>
      </c>
      <c r="F21" s="6">
        <f t="shared" si="36"/>
        <v>1210904778.1253073</v>
      </c>
      <c r="G21" s="6">
        <f t="shared" si="36"/>
        <v>1210904778.1253073</v>
      </c>
      <c r="H21" s="6">
        <f t="shared" si="36"/>
        <v>1211854778.1253073</v>
      </c>
      <c r="I21" s="6">
        <f t="shared" si="36"/>
        <v>1211854778.1253073</v>
      </c>
      <c r="J21" s="6">
        <f t="shared" si="36"/>
        <v>1211854778.1253073</v>
      </c>
      <c r="K21" s="6">
        <f t="shared" si="36"/>
        <v>1211854778.1253073</v>
      </c>
      <c r="L21" s="6">
        <f t="shared" si="36"/>
        <v>1212054778.1253073</v>
      </c>
      <c r="M21" s="6">
        <f t="shared" si="36"/>
        <v>1212054778.1253073</v>
      </c>
      <c r="N21" s="6">
        <f t="shared" si="36"/>
        <v>1211054778.1253073</v>
      </c>
      <c r="O21" s="6">
        <f t="shared" si="33"/>
        <v>10315311278.64201</v>
      </c>
      <c r="P21" s="6">
        <f t="shared" si="32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f t="shared" ref="W21" si="37">+W22+W24+W26+W28+W30+W32</f>
        <v>1477278010</v>
      </c>
      <c r="X21" s="6"/>
      <c r="Y21" s="6"/>
      <c r="Z21" s="6"/>
      <c r="AA21" s="6"/>
      <c r="AB21" s="6"/>
      <c r="AC21" s="6"/>
      <c r="AD21" s="6"/>
      <c r="AE21" s="6"/>
      <c r="AF21" s="6">
        <f t="shared" si="20"/>
        <v>10257699826</v>
      </c>
      <c r="AG21" s="6">
        <f t="shared" si="21"/>
        <v>10257699826</v>
      </c>
      <c r="AI21" s="174">
        <f t="shared" si="22"/>
        <v>1.5536798194794746E-3</v>
      </c>
      <c r="AJ21" s="174">
        <f t="shared" si="4"/>
        <v>4.7070019442942673E-2</v>
      </c>
      <c r="AK21" s="174">
        <f t="shared" si="5"/>
        <v>2.667463925224085E-2</v>
      </c>
      <c r="AL21" s="174">
        <f t="shared" si="6"/>
        <v>-0.21997867766868101</v>
      </c>
      <c r="AM21" s="174">
        <f t="shared" si="7"/>
        <v>1</v>
      </c>
      <c r="AN21" s="174">
        <f t="shared" si="8"/>
        <v>1</v>
      </c>
      <c r="AO21" s="174">
        <f t="shared" si="9"/>
        <v>1</v>
      </c>
      <c r="AP21" s="174">
        <f t="shared" si="10"/>
        <v>1</v>
      </c>
      <c r="AQ21" s="174">
        <f t="shared" si="11"/>
        <v>1</v>
      </c>
      <c r="AR21" s="174">
        <f t="shared" si="12"/>
        <v>1</v>
      </c>
      <c r="AS21" s="174">
        <f t="shared" si="13"/>
        <v>1</v>
      </c>
      <c r="AT21" s="174">
        <f t="shared" si="14"/>
        <v>1</v>
      </c>
      <c r="AU21" s="174">
        <f t="shared" si="15"/>
        <v>5.5850425727137307E-3</v>
      </c>
      <c r="AV21" s="174">
        <f t="shared" si="16"/>
        <v>0.48734056612783649</v>
      </c>
    </row>
    <row r="22" spans="1:48" x14ac:dyDescent="0.25">
      <c r="A22" s="7" t="s">
        <v>41</v>
      </c>
      <c r="B22" s="8" t="s">
        <v>42</v>
      </c>
      <c r="C22" s="9">
        <f t="shared" ref="C22:N22" si="38">+C23</f>
        <v>504067105.57110208</v>
      </c>
      <c r="D22" s="9">
        <f t="shared" si="38"/>
        <v>504067105.57110208</v>
      </c>
      <c r="E22" s="9">
        <f t="shared" si="38"/>
        <v>504067105.57110208</v>
      </c>
      <c r="F22" s="9">
        <f t="shared" si="38"/>
        <v>504067105.57110208</v>
      </c>
      <c r="G22" s="9">
        <f t="shared" si="38"/>
        <v>504067105.57110208</v>
      </c>
      <c r="H22" s="9">
        <f t="shared" si="38"/>
        <v>504067105.57110208</v>
      </c>
      <c r="I22" s="9">
        <f t="shared" si="38"/>
        <v>504067105.57110208</v>
      </c>
      <c r="J22" s="9">
        <f t="shared" si="38"/>
        <v>504067105.57110208</v>
      </c>
      <c r="K22" s="9">
        <f t="shared" si="38"/>
        <v>504067105.57110208</v>
      </c>
      <c r="L22" s="9">
        <f t="shared" si="38"/>
        <v>504067105.57110208</v>
      </c>
      <c r="M22" s="9">
        <f t="shared" si="38"/>
        <v>504067105.57110208</v>
      </c>
      <c r="N22" s="9">
        <f t="shared" si="38"/>
        <v>504067105.57110208</v>
      </c>
      <c r="O22" s="9">
        <f t="shared" si="33"/>
        <v>2016268422.2844083</v>
      </c>
      <c r="P22" s="9">
        <f t="shared" si="32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f t="shared" ref="W22" si="39">+W23</f>
        <v>615956661.53999996</v>
      </c>
      <c r="X22" s="9"/>
      <c r="Y22" s="9"/>
      <c r="Z22" s="9"/>
      <c r="AA22" s="9"/>
      <c r="AB22" s="9"/>
      <c r="AC22" s="9"/>
      <c r="AD22" s="9"/>
      <c r="AE22" s="9"/>
      <c r="AF22" s="9">
        <f t="shared" si="20"/>
        <v>2061792802.6900001</v>
      </c>
      <c r="AG22" s="9">
        <f t="shared" si="21"/>
        <v>2061792802.6900001</v>
      </c>
      <c r="AI22" s="175">
        <f t="shared" si="22"/>
        <v>5.4582578920578162E-2</v>
      </c>
      <c r="AJ22" s="175">
        <f t="shared" si="4"/>
        <v>5.1848574450203855E-2</v>
      </c>
      <c r="AK22" s="175">
        <f t="shared" si="5"/>
        <v>2.522825235083366E-2</v>
      </c>
      <c r="AL22" s="175">
        <f t="shared" si="6"/>
        <v>-0.22197353235761799</v>
      </c>
      <c r="AM22" s="175">
        <f t="shared" si="7"/>
        <v>1</v>
      </c>
      <c r="AN22" s="175">
        <f t="shared" si="8"/>
        <v>1</v>
      </c>
      <c r="AO22" s="175">
        <f t="shared" si="9"/>
        <v>1</v>
      </c>
      <c r="AP22" s="175">
        <f t="shared" si="10"/>
        <v>1</v>
      </c>
      <c r="AQ22" s="175">
        <f t="shared" si="11"/>
        <v>1</v>
      </c>
      <c r="AR22" s="175">
        <f t="shared" si="12"/>
        <v>1</v>
      </c>
      <c r="AS22" s="175">
        <f t="shared" si="13"/>
        <v>1</v>
      </c>
      <c r="AT22" s="175">
        <f t="shared" si="14"/>
        <v>1</v>
      </c>
      <c r="AU22" s="175">
        <f t="shared" si="15"/>
        <v>-2.257853165900061E-2</v>
      </c>
      <c r="AV22" s="175">
        <f t="shared" si="16"/>
        <v>0.65914048944699977</v>
      </c>
    </row>
    <row r="23" spans="1:48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33"/>
        <v>2016268422.2844083</v>
      </c>
      <c r="P23" s="21">
        <f t="shared" si="32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61">
        <v>615956661.53999996</v>
      </c>
      <c r="X23" s="21"/>
      <c r="Y23" s="21"/>
      <c r="Z23" s="21"/>
      <c r="AA23" s="21"/>
      <c r="AB23" s="21"/>
      <c r="AC23" s="21"/>
      <c r="AD23" s="21"/>
      <c r="AE23" s="21"/>
      <c r="AF23" s="261">
        <f t="shared" si="20"/>
        <v>2061792802.6900001</v>
      </c>
      <c r="AG23" s="21">
        <f t="shared" si="21"/>
        <v>2061792802.6900001</v>
      </c>
      <c r="AI23" s="176">
        <f t="shared" si="22"/>
        <v>5.4582578920578162E-2</v>
      </c>
      <c r="AJ23" s="176">
        <f t="shared" si="4"/>
        <v>5.1848574450203855E-2</v>
      </c>
      <c r="AK23" s="176">
        <f t="shared" si="5"/>
        <v>2.522825235083366E-2</v>
      </c>
      <c r="AL23" s="176">
        <f t="shared" si="6"/>
        <v>-0.22197353235761799</v>
      </c>
      <c r="AM23" s="176">
        <f t="shared" si="7"/>
        <v>1</v>
      </c>
      <c r="AN23" s="176">
        <f t="shared" si="8"/>
        <v>1</v>
      </c>
      <c r="AO23" s="176">
        <f t="shared" si="9"/>
        <v>1</v>
      </c>
      <c r="AP23" s="176">
        <f t="shared" si="10"/>
        <v>1</v>
      </c>
      <c r="AQ23" s="176">
        <f t="shared" si="11"/>
        <v>1</v>
      </c>
      <c r="AR23" s="176">
        <f t="shared" si="12"/>
        <v>1</v>
      </c>
      <c r="AS23" s="176">
        <f t="shared" si="13"/>
        <v>1</v>
      </c>
      <c r="AT23" s="176">
        <f t="shared" si="14"/>
        <v>1</v>
      </c>
      <c r="AU23" s="176">
        <f t="shared" si="15"/>
        <v>-2.257853165900061E-2</v>
      </c>
      <c r="AV23" s="176">
        <f t="shared" si="16"/>
        <v>0.65914048944699977</v>
      </c>
    </row>
    <row r="24" spans="1:48" x14ac:dyDescent="0.25">
      <c r="A24" s="7" t="s">
        <v>44</v>
      </c>
      <c r="B24" s="8" t="s">
        <v>45</v>
      </c>
      <c r="C24" s="9">
        <f t="shared" ref="C24:N24" si="40">+C25</f>
        <v>368543249.35986692</v>
      </c>
      <c r="D24" s="9">
        <f t="shared" si="40"/>
        <v>368543249.35986692</v>
      </c>
      <c r="E24" s="9">
        <f t="shared" si="40"/>
        <v>368543249.35986692</v>
      </c>
      <c r="F24" s="9">
        <f t="shared" si="40"/>
        <v>368543249.35986692</v>
      </c>
      <c r="G24" s="9">
        <f t="shared" si="40"/>
        <v>368543249.35986692</v>
      </c>
      <c r="H24" s="9">
        <f t="shared" si="40"/>
        <v>368543249.35986692</v>
      </c>
      <c r="I24" s="9">
        <f t="shared" si="40"/>
        <v>368543249.35986692</v>
      </c>
      <c r="J24" s="9">
        <f t="shared" si="40"/>
        <v>368543249.35986692</v>
      </c>
      <c r="K24" s="9">
        <f t="shared" si="40"/>
        <v>368543249.35986692</v>
      </c>
      <c r="L24" s="9">
        <f t="shared" si="40"/>
        <v>368543249.35986692</v>
      </c>
      <c r="M24" s="9">
        <f t="shared" si="40"/>
        <v>368543249.35986692</v>
      </c>
      <c r="N24" s="9">
        <f t="shared" si="40"/>
        <v>368543249.35986692</v>
      </c>
      <c r="O24" s="9">
        <f t="shared" si="33"/>
        <v>1474172997.4394677</v>
      </c>
      <c r="P24" s="9">
        <f t="shared" si="32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f t="shared" ref="W24" si="41">+W25</f>
        <v>464669060.45999998</v>
      </c>
      <c r="X24" s="9"/>
      <c r="Y24" s="9"/>
      <c r="Z24" s="9"/>
      <c r="AA24" s="9"/>
      <c r="AB24" s="9"/>
      <c r="AC24" s="9"/>
      <c r="AD24" s="9"/>
      <c r="AE24" s="9"/>
      <c r="AF24" s="9">
        <f t="shared" si="20"/>
        <v>1555387553.3099999</v>
      </c>
      <c r="AG24" s="9">
        <f t="shared" si="21"/>
        <v>1555387553.3099999</v>
      </c>
      <c r="AI24" s="175">
        <f t="shared" si="22"/>
        <v>2.4522856884679908E-2</v>
      </c>
      <c r="AJ24" s="175">
        <f t="shared" si="4"/>
        <v>2.1701925333754087E-2</v>
      </c>
      <c r="AK24" s="175">
        <f t="shared" si="5"/>
        <v>-5.7647948071856197E-3</v>
      </c>
      <c r="AL24" s="175">
        <f t="shared" si="6"/>
        <v>-0.2608264057667497</v>
      </c>
      <c r="AM24" s="175">
        <f t="shared" si="7"/>
        <v>1</v>
      </c>
      <c r="AN24" s="175">
        <f t="shared" si="8"/>
        <v>1</v>
      </c>
      <c r="AO24" s="175">
        <f t="shared" si="9"/>
        <v>1</v>
      </c>
      <c r="AP24" s="175">
        <f t="shared" si="10"/>
        <v>1</v>
      </c>
      <c r="AQ24" s="175">
        <f t="shared" si="11"/>
        <v>1</v>
      </c>
      <c r="AR24" s="175">
        <f t="shared" si="12"/>
        <v>1</v>
      </c>
      <c r="AS24" s="175">
        <f t="shared" si="13"/>
        <v>1</v>
      </c>
      <c r="AT24" s="175">
        <f t="shared" si="14"/>
        <v>1</v>
      </c>
      <c r="AU24" s="175">
        <f t="shared" si="15"/>
        <v>-5.5091604588875326E-2</v>
      </c>
      <c r="AV24" s="175">
        <f t="shared" si="16"/>
        <v>0.64830279847037497</v>
      </c>
    </row>
    <row r="25" spans="1:48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33"/>
        <v>1474172997.4394677</v>
      </c>
      <c r="P25" s="21">
        <f t="shared" si="32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61">
        <v>464669060.45999998</v>
      </c>
      <c r="X25" s="21"/>
      <c r="Y25" s="21"/>
      <c r="Z25" s="21"/>
      <c r="AA25" s="21"/>
      <c r="AB25" s="21"/>
      <c r="AC25" s="21"/>
      <c r="AD25" s="21"/>
      <c r="AE25" s="21"/>
      <c r="AF25" s="261">
        <f t="shared" si="20"/>
        <v>1555387553.3099999</v>
      </c>
      <c r="AG25" s="21">
        <f t="shared" si="21"/>
        <v>1555387553.3099999</v>
      </c>
      <c r="AI25" s="176">
        <f t="shared" si="22"/>
        <v>2.4522856884679908E-2</v>
      </c>
      <c r="AJ25" s="176">
        <f t="shared" si="4"/>
        <v>2.1701925333754087E-2</v>
      </c>
      <c r="AK25" s="176">
        <f t="shared" si="5"/>
        <v>-5.7647948071856197E-3</v>
      </c>
      <c r="AL25" s="176">
        <f t="shared" si="6"/>
        <v>-0.2608264057667497</v>
      </c>
      <c r="AM25" s="176">
        <f t="shared" si="7"/>
        <v>1</v>
      </c>
      <c r="AN25" s="176">
        <f t="shared" si="8"/>
        <v>1</v>
      </c>
      <c r="AO25" s="176">
        <f t="shared" si="9"/>
        <v>1</v>
      </c>
      <c r="AP25" s="176">
        <f t="shared" si="10"/>
        <v>1</v>
      </c>
      <c r="AQ25" s="176">
        <f t="shared" si="11"/>
        <v>1</v>
      </c>
      <c r="AR25" s="176">
        <f t="shared" si="12"/>
        <v>1</v>
      </c>
      <c r="AS25" s="176">
        <f t="shared" si="13"/>
        <v>1</v>
      </c>
      <c r="AT25" s="176">
        <f t="shared" si="14"/>
        <v>1</v>
      </c>
      <c r="AU25" s="176">
        <f t="shared" si="15"/>
        <v>-5.5091604588875326E-2</v>
      </c>
      <c r="AV25" s="176">
        <f t="shared" si="16"/>
        <v>0.64830279847037497</v>
      </c>
    </row>
    <row r="26" spans="1:48" x14ac:dyDescent="0.25">
      <c r="A26" s="7" t="s">
        <v>47</v>
      </c>
      <c r="B26" s="8" t="s">
        <v>48</v>
      </c>
      <c r="C26" s="9">
        <f t="shared" ref="C26:N26" si="42">+C27</f>
        <v>547146840</v>
      </c>
      <c r="D26" s="9">
        <f t="shared" si="42"/>
        <v>4928945326.1407804</v>
      </c>
      <c r="E26" s="9">
        <f t="shared" si="42"/>
        <v>950000</v>
      </c>
      <c r="F26" s="9">
        <f t="shared" si="42"/>
        <v>950000</v>
      </c>
      <c r="G26" s="9">
        <f t="shared" si="42"/>
        <v>950000</v>
      </c>
      <c r="H26" s="9">
        <f t="shared" si="42"/>
        <v>1900000</v>
      </c>
      <c r="I26" s="9">
        <f t="shared" si="42"/>
        <v>1900000</v>
      </c>
      <c r="J26" s="9">
        <f t="shared" si="42"/>
        <v>1900000</v>
      </c>
      <c r="K26" s="9">
        <f t="shared" si="42"/>
        <v>1900000</v>
      </c>
      <c r="L26" s="9">
        <f t="shared" si="42"/>
        <v>2100000</v>
      </c>
      <c r="M26" s="9">
        <f t="shared" si="42"/>
        <v>2100000</v>
      </c>
      <c r="N26" s="9">
        <f t="shared" si="42"/>
        <v>2600000</v>
      </c>
      <c r="O26" s="9">
        <f t="shared" si="33"/>
        <v>5477992166.1407804</v>
      </c>
      <c r="P26" s="9">
        <f t="shared" si="32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f t="shared" ref="W26" si="43">+W27</f>
        <v>0</v>
      </c>
      <c r="X26" s="9"/>
      <c r="Y26" s="9"/>
      <c r="Z26" s="9"/>
      <c r="AA26" s="9"/>
      <c r="AB26" s="9"/>
      <c r="AC26" s="9"/>
      <c r="AD26" s="9"/>
      <c r="AE26" s="9"/>
      <c r="AF26" s="9">
        <f t="shared" si="20"/>
        <v>5270987384</v>
      </c>
      <c r="AG26" s="9">
        <f t="shared" si="21"/>
        <v>5270987384</v>
      </c>
      <c r="AI26" s="175">
        <f t="shared" si="22"/>
        <v>-2.8348004349252935E-2</v>
      </c>
      <c r="AJ26" s="175">
        <f t="shared" si="4"/>
        <v>4.4762748730574724E-2</v>
      </c>
      <c r="AK26" s="175">
        <f t="shared" si="5"/>
        <v>0.9812231578947368</v>
      </c>
      <c r="AL26" s="175">
        <f t="shared" si="6"/>
        <v>1</v>
      </c>
      <c r="AM26" s="175">
        <f t="shared" si="7"/>
        <v>1</v>
      </c>
      <c r="AN26" s="175">
        <f t="shared" si="8"/>
        <v>1</v>
      </c>
      <c r="AO26" s="175">
        <f t="shared" si="9"/>
        <v>1</v>
      </c>
      <c r="AP26" s="175">
        <f t="shared" si="10"/>
        <v>1</v>
      </c>
      <c r="AQ26" s="175">
        <f t="shared" si="11"/>
        <v>1</v>
      </c>
      <c r="AR26" s="175">
        <f t="shared" si="12"/>
        <v>1</v>
      </c>
      <c r="AS26" s="175">
        <f t="shared" si="13"/>
        <v>1</v>
      </c>
      <c r="AT26" s="175">
        <f t="shared" si="14"/>
        <v>1</v>
      </c>
      <c r="AU26" s="175">
        <f t="shared" si="15"/>
        <v>3.7788440702830418E-2</v>
      </c>
      <c r="AV26" s="175">
        <f t="shared" si="16"/>
        <v>4.0477140403032755E-2</v>
      </c>
    </row>
    <row r="27" spans="1:48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33"/>
        <v>5477992166.1407804</v>
      </c>
      <c r="P27" s="21">
        <f t="shared" si="32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61">
        <v>0</v>
      </c>
      <c r="X27" s="21"/>
      <c r="Y27" s="21"/>
      <c r="Z27" s="21"/>
      <c r="AA27" s="21"/>
      <c r="AB27" s="21"/>
      <c r="AC27" s="21"/>
      <c r="AD27" s="21"/>
      <c r="AE27" s="21"/>
      <c r="AF27" s="261">
        <f t="shared" si="20"/>
        <v>5270987384</v>
      </c>
      <c r="AG27" s="21">
        <f t="shared" si="21"/>
        <v>5270987384</v>
      </c>
      <c r="AI27" s="176">
        <f t="shared" si="22"/>
        <v>-2.8348004349252935E-2</v>
      </c>
      <c r="AJ27" s="176">
        <f t="shared" si="4"/>
        <v>4.4762748730574724E-2</v>
      </c>
      <c r="AK27" s="176">
        <f t="shared" si="5"/>
        <v>0.9812231578947368</v>
      </c>
      <c r="AL27" s="176">
        <f t="shared" si="6"/>
        <v>1</v>
      </c>
      <c r="AM27" s="176">
        <f t="shared" si="7"/>
        <v>1</v>
      </c>
      <c r="AN27" s="176">
        <f t="shared" si="8"/>
        <v>1</v>
      </c>
      <c r="AO27" s="176">
        <f t="shared" si="9"/>
        <v>1</v>
      </c>
      <c r="AP27" s="176">
        <f t="shared" si="10"/>
        <v>1</v>
      </c>
      <c r="AQ27" s="176">
        <f t="shared" si="11"/>
        <v>1</v>
      </c>
      <c r="AR27" s="176">
        <f t="shared" si="12"/>
        <v>1</v>
      </c>
      <c r="AS27" s="176">
        <f t="shared" si="13"/>
        <v>1</v>
      </c>
      <c r="AT27" s="176">
        <f t="shared" si="14"/>
        <v>1</v>
      </c>
      <c r="AU27" s="176">
        <f t="shared" si="15"/>
        <v>3.7788440702830418E-2</v>
      </c>
      <c r="AV27" s="176">
        <f t="shared" si="16"/>
        <v>4.0477140403032755E-2</v>
      </c>
    </row>
    <row r="28" spans="1:48" x14ac:dyDescent="0.25">
      <c r="A28" s="7" t="s">
        <v>50</v>
      </c>
      <c r="B28" s="8" t="s">
        <v>51</v>
      </c>
      <c r="C28" s="9">
        <f t="shared" ref="C28:N28" si="44">+C29</f>
        <v>171443930.67590949</v>
      </c>
      <c r="D28" s="9">
        <f t="shared" si="44"/>
        <v>171443930.67590949</v>
      </c>
      <c r="E28" s="9">
        <f t="shared" si="44"/>
        <v>171443930.67590949</v>
      </c>
      <c r="F28" s="9">
        <f t="shared" si="44"/>
        <v>171443930.67590949</v>
      </c>
      <c r="G28" s="9">
        <f t="shared" si="44"/>
        <v>171443930.67590949</v>
      </c>
      <c r="H28" s="9">
        <f t="shared" si="44"/>
        <v>171443930.67590949</v>
      </c>
      <c r="I28" s="9">
        <f t="shared" si="44"/>
        <v>171443930.67590949</v>
      </c>
      <c r="J28" s="9">
        <f t="shared" si="44"/>
        <v>171443930.67590949</v>
      </c>
      <c r="K28" s="9">
        <f t="shared" si="44"/>
        <v>171443930.67590949</v>
      </c>
      <c r="L28" s="9">
        <f t="shared" si="44"/>
        <v>171443930.67590949</v>
      </c>
      <c r="M28" s="9">
        <f t="shared" si="44"/>
        <v>171443930.67590949</v>
      </c>
      <c r="N28" s="9">
        <f t="shared" si="44"/>
        <v>171443930.67590949</v>
      </c>
      <c r="O28" s="9">
        <f t="shared" si="33"/>
        <v>685775722.70363796</v>
      </c>
      <c r="P28" s="9">
        <f t="shared" si="32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f t="shared" ref="W28" si="45">+W29</f>
        <v>206221433.16</v>
      </c>
      <c r="X28" s="9"/>
      <c r="Y28" s="9"/>
      <c r="Z28" s="9"/>
      <c r="AA28" s="9"/>
      <c r="AB28" s="9"/>
      <c r="AC28" s="9"/>
      <c r="AD28" s="9"/>
      <c r="AE28" s="9"/>
      <c r="AF28" s="9">
        <f t="shared" si="20"/>
        <v>712062916.49000001</v>
      </c>
      <c r="AG28" s="9">
        <f t="shared" si="21"/>
        <v>712062916.49000001</v>
      </c>
      <c r="AI28" s="175">
        <f t="shared" si="22"/>
        <v>-8.0490719442129391E-2</v>
      </c>
      <c r="AJ28" s="175">
        <f t="shared" si="4"/>
        <v>8.3530313960083424E-2</v>
      </c>
      <c r="AK28" s="175">
        <f t="shared" si="5"/>
        <v>4.6482769232432747E-2</v>
      </c>
      <c r="AL28" s="175">
        <f t="shared" si="6"/>
        <v>-0.202850589968288</v>
      </c>
      <c r="AM28" s="175">
        <f t="shared" si="7"/>
        <v>1</v>
      </c>
      <c r="AN28" s="175">
        <f t="shared" si="8"/>
        <v>1</v>
      </c>
      <c r="AO28" s="175">
        <f t="shared" si="9"/>
        <v>1</v>
      </c>
      <c r="AP28" s="175">
        <f t="shared" si="10"/>
        <v>1</v>
      </c>
      <c r="AQ28" s="175">
        <f t="shared" si="11"/>
        <v>1</v>
      </c>
      <c r="AR28" s="175">
        <f t="shared" si="12"/>
        <v>1</v>
      </c>
      <c r="AS28" s="175">
        <f t="shared" si="13"/>
        <v>1</v>
      </c>
      <c r="AT28" s="175">
        <f t="shared" si="14"/>
        <v>1</v>
      </c>
      <c r="AU28" s="175">
        <f t="shared" si="15"/>
        <v>-3.8332056554475344E-2</v>
      </c>
      <c r="AV28" s="175">
        <f t="shared" si="16"/>
        <v>0.65388931448184162</v>
      </c>
    </row>
    <row r="29" spans="1:48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33"/>
        <v>685775722.70363796</v>
      </c>
      <c r="P29" s="21">
        <f t="shared" si="32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61">
        <v>206221433.16</v>
      </c>
      <c r="X29" s="21"/>
      <c r="Y29" s="21"/>
      <c r="Z29" s="21"/>
      <c r="AA29" s="21"/>
      <c r="AB29" s="21"/>
      <c r="AC29" s="21"/>
      <c r="AD29" s="21"/>
      <c r="AE29" s="21"/>
      <c r="AF29" s="261">
        <f t="shared" si="20"/>
        <v>712062916.49000001</v>
      </c>
      <c r="AG29" s="21">
        <f t="shared" si="21"/>
        <v>712062916.49000001</v>
      </c>
      <c r="AI29" s="176">
        <f t="shared" si="22"/>
        <v>-8.0490719442129391E-2</v>
      </c>
      <c r="AJ29" s="176">
        <f t="shared" si="4"/>
        <v>8.3530313960083424E-2</v>
      </c>
      <c r="AK29" s="176">
        <f t="shared" si="5"/>
        <v>4.6482769232432747E-2</v>
      </c>
      <c r="AL29" s="176">
        <f t="shared" si="6"/>
        <v>-0.202850589968288</v>
      </c>
      <c r="AM29" s="176">
        <f t="shared" si="7"/>
        <v>1</v>
      </c>
      <c r="AN29" s="176">
        <f t="shared" si="8"/>
        <v>1</v>
      </c>
      <c r="AO29" s="176">
        <f t="shared" si="9"/>
        <v>1</v>
      </c>
      <c r="AP29" s="176">
        <f t="shared" si="10"/>
        <v>1</v>
      </c>
      <c r="AQ29" s="176">
        <f t="shared" si="11"/>
        <v>1</v>
      </c>
      <c r="AR29" s="176">
        <f t="shared" si="12"/>
        <v>1</v>
      </c>
      <c r="AS29" s="176">
        <f t="shared" si="13"/>
        <v>1</v>
      </c>
      <c r="AT29" s="176">
        <f t="shared" si="14"/>
        <v>1</v>
      </c>
      <c r="AU29" s="176">
        <f t="shared" si="15"/>
        <v>-3.8332056554475344E-2</v>
      </c>
      <c r="AV29" s="176">
        <f t="shared" si="16"/>
        <v>0.65388931448184162</v>
      </c>
    </row>
    <row r="30" spans="1:48" x14ac:dyDescent="0.25">
      <c r="A30" s="7" t="s">
        <v>53</v>
      </c>
      <c r="B30" s="8" t="s">
        <v>54</v>
      </c>
      <c r="C30" s="9">
        <f t="shared" ref="C30:N30" si="46">+C31</f>
        <v>36127064.687165819</v>
      </c>
      <c r="D30" s="9">
        <f t="shared" si="46"/>
        <v>38627064.687165819</v>
      </c>
      <c r="E30" s="9">
        <f t="shared" si="46"/>
        <v>38627064.687165819</v>
      </c>
      <c r="F30" s="9">
        <f t="shared" si="46"/>
        <v>38627064.687165819</v>
      </c>
      <c r="G30" s="9">
        <f t="shared" si="46"/>
        <v>38627064.687165819</v>
      </c>
      <c r="H30" s="9">
        <f t="shared" si="46"/>
        <v>38627064.687165819</v>
      </c>
      <c r="I30" s="9">
        <f t="shared" si="46"/>
        <v>38627064.687165819</v>
      </c>
      <c r="J30" s="9">
        <f t="shared" si="46"/>
        <v>38627064.687165819</v>
      </c>
      <c r="K30" s="9">
        <f t="shared" si="46"/>
        <v>38627064.687165819</v>
      </c>
      <c r="L30" s="9">
        <f t="shared" si="46"/>
        <v>38627064.687165819</v>
      </c>
      <c r="M30" s="9">
        <f t="shared" si="46"/>
        <v>38627064.687165819</v>
      </c>
      <c r="N30" s="9">
        <f t="shared" si="46"/>
        <v>37127064.687165819</v>
      </c>
      <c r="O30" s="9">
        <f t="shared" si="33"/>
        <v>152008258.74866328</v>
      </c>
      <c r="P30" s="9">
        <f t="shared" si="32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f t="shared" ref="W30" si="47">+W31</f>
        <v>34860300</v>
      </c>
      <c r="X30" s="9"/>
      <c r="Y30" s="9"/>
      <c r="Z30" s="9"/>
      <c r="AA30" s="9"/>
      <c r="AB30" s="9"/>
      <c r="AC30" s="9"/>
      <c r="AD30" s="9"/>
      <c r="AE30" s="9"/>
      <c r="AF30" s="9">
        <f t="shared" si="20"/>
        <v>120298900</v>
      </c>
      <c r="AG30" s="9">
        <f t="shared" si="21"/>
        <v>120298900</v>
      </c>
      <c r="AI30" s="175">
        <f t="shared" si="22"/>
        <v>0.2202494101324689</v>
      </c>
      <c r="AJ30" s="175">
        <f t="shared" si="4"/>
        <v>0.28811572345189224</v>
      </c>
      <c r="AK30" s="175">
        <f t="shared" si="5"/>
        <v>0.229283916831208</v>
      </c>
      <c r="AL30" s="175">
        <f t="shared" si="6"/>
        <v>9.7516203151138209E-2</v>
      </c>
      <c r="AM30" s="175">
        <f t="shared" si="7"/>
        <v>1</v>
      </c>
      <c r="AN30" s="175">
        <f t="shared" si="8"/>
        <v>1</v>
      </c>
      <c r="AO30" s="175">
        <f t="shared" si="9"/>
        <v>1</v>
      </c>
      <c r="AP30" s="175">
        <f t="shared" si="10"/>
        <v>1</v>
      </c>
      <c r="AQ30" s="175">
        <f t="shared" si="11"/>
        <v>1</v>
      </c>
      <c r="AR30" s="175">
        <f t="shared" si="12"/>
        <v>1</v>
      </c>
      <c r="AS30" s="175">
        <f t="shared" si="13"/>
        <v>1</v>
      </c>
      <c r="AT30" s="175">
        <f t="shared" si="14"/>
        <v>1</v>
      </c>
      <c r="AU30" s="175">
        <f t="shared" si="15"/>
        <v>0.2086028680921399</v>
      </c>
      <c r="AV30" s="175">
        <f t="shared" si="16"/>
        <v>0.73821019840809976</v>
      </c>
    </row>
    <row r="31" spans="1:48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33"/>
        <v>152008258.74866328</v>
      </c>
      <c r="P31" s="21">
        <f t="shared" si="32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61">
        <v>34860300</v>
      </c>
      <c r="X31" s="21"/>
      <c r="Y31" s="21"/>
      <c r="Z31" s="21"/>
      <c r="AA31" s="21"/>
      <c r="AB31" s="21"/>
      <c r="AC31" s="21"/>
      <c r="AD31" s="21"/>
      <c r="AE31" s="21"/>
      <c r="AF31" s="261">
        <f t="shared" si="20"/>
        <v>120298900</v>
      </c>
      <c r="AG31" s="21">
        <f t="shared" si="21"/>
        <v>120298900</v>
      </c>
      <c r="AI31" s="176">
        <f t="shared" si="22"/>
        <v>0.2202494101324689</v>
      </c>
      <c r="AJ31" s="176">
        <f t="shared" si="4"/>
        <v>0.28811572345189224</v>
      </c>
      <c r="AK31" s="176">
        <f t="shared" si="5"/>
        <v>0.229283916831208</v>
      </c>
      <c r="AL31" s="176">
        <f t="shared" si="6"/>
        <v>9.7516203151138209E-2</v>
      </c>
      <c r="AM31" s="176">
        <f t="shared" si="7"/>
        <v>1</v>
      </c>
      <c r="AN31" s="176">
        <f t="shared" si="8"/>
        <v>1</v>
      </c>
      <c r="AO31" s="176">
        <f t="shared" si="9"/>
        <v>1</v>
      </c>
      <c r="AP31" s="176">
        <f t="shared" si="10"/>
        <v>1</v>
      </c>
      <c r="AQ31" s="176">
        <f t="shared" si="11"/>
        <v>1</v>
      </c>
      <c r="AR31" s="176">
        <f t="shared" si="12"/>
        <v>1</v>
      </c>
      <c r="AS31" s="176">
        <f t="shared" si="13"/>
        <v>1</v>
      </c>
      <c r="AT31" s="176">
        <f t="shared" si="14"/>
        <v>1</v>
      </c>
      <c r="AU31" s="176">
        <f t="shared" si="15"/>
        <v>0.2086028680921399</v>
      </c>
      <c r="AV31" s="176">
        <f t="shared" si="16"/>
        <v>0.73821019840809976</v>
      </c>
    </row>
    <row r="32" spans="1:48" x14ac:dyDescent="0.25">
      <c r="A32" s="7" t="s">
        <v>56</v>
      </c>
      <c r="B32" s="8" t="s">
        <v>57</v>
      </c>
      <c r="C32" s="9">
        <f t="shared" ref="C32:N32" si="48">+C33</f>
        <v>127273427.83126305</v>
      </c>
      <c r="D32" s="9">
        <f t="shared" si="48"/>
        <v>127273427.83126305</v>
      </c>
      <c r="E32" s="9">
        <f t="shared" si="48"/>
        <v>127273427.83126305</v>
      </c>
      <c r="F32" s="9">
        <f t="shared" si="48"/>
        <v>127273427.83126305</v>
      </c>
      <c r="G32" s="9">
        <f t="shared" si="48"/>
        <v>127273427.83126305</v>
      </c>
      <c r="H32" s="9">
        <f t="shared" si="48"/>
        <v>127273427.83126305</v>
      </c>
      <c r="I32" s="9">
        <f t="shared" si="48"/>
        <v>127273427.83126305</v>
      </c>
      <c r="J32" s="9">
        <f t="shared" si="48"/>
        <v>127273427.83126305</v>
      </c>
      <c r="K32" s="9">
        <f t="shared" si="48"/>
        <v>127273427.83126305</v>
      </c>
      <c r="L32" s="9">
        <f t="shared" si="48"/>
        <v>127273427.83126305</v>
      </c>
      <c r="M32" s="9">
        <f t="shared" si="48"/>
        <v>127273427.83126305</v>
      </c>
      <c r="N32" s="9">
        <f t="shared" si="48"/>
        <v>127273427.83126305</v>
      </c>
      <c r="O32" s="9">
        <f t="shared" si="33"/>
        <v>509093711.3250522</v>
      </c>
      <c r="P32" s="9">
        <f t="shared" si="32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f t="shared" ref="W32" si="49">+W33</f>
        <v>155570554.84</v>
      </c>
      <c r="X32" s="9"/>
      <c r="Y32" s="9"/>
      <c r="Z32" s="9"/>
      <c r="AA32" s="9"/>
      <c r="AB32" s="9"/>
      <c r="AC32" s="9"/>
      <c r="AD32" s="9"/>
      <c r="AE32" s="9"/>
      <c r="AF32" s="9">
        <f t="shared" si="20"/>
        <v>537170269.50999999</v>
      </c>
      <c r="AG32" s="9">
        <f t="shared" si="21"/>
        <v>537170269.50999999</v>
      </c>
      <c r="AI32" s="175">
        <f t="shared" si="22"/>
        <v>-9.7991586942026504E-2</v>
      </c>
      <c r="AJ32" s="175">
        <f t="shared" si="4"/>
        <v>6.8686113827726311E-2</v>
      </c>
      <c r="AK32" s="175">
        <f t="shared" si="5"/>
        <v>3.1038504333366416E-2</v>
      </c>
      <c r="AL32" s="175">
        <f t="shared" si="6"/>
        <v>-0.22233334554525241</v>
      </c>
      <c r="AM32" s="175">
        <f t="shared" si="7"/>
        <v>1</v>
      </c>
      <c r="AN32" s="175">
        <f t="shared" si="8"/>
        <v>1</v>
      </c>
      <c r="AO32" s="175">
        <f t="shared" si="9"/>
        <v>1</v>
      </c>
      <c r="AP32" s="175">
        <f t="shared" si="10"/>
        <v>1</v>
      </c>
      <c r="AQ32" s="175">
        <f t="shared" si="11"/>
        <v>1</v>
      </c>
      <c r="AR32" s="175">
        <f t="shared" si="12"/>
        <v>1</v>
      </c>
      <c r="AS32" s="175">
        <f t="shared" si="13"/>
        <v>1</v>
      </c>
      <c r="AT32" s="175">
        <f t="shared" si="14"/>
        <v>1</v>
      </c>
      <c r="AU32" s="175">
        <f t="shared" si="15"/>
        <v>-5.5150078581546517E-2</v>
      </c>
      <c r="AV32" s="175">
        <f t="shared" si="16"/>
        <v>0.64828330713948445</v>
      </c>
    </row>
    <row r="33" spans="1:48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33"/>
        <v>509093711.3250522</v>
      </c>
      <c r="P33" s="21">
        <f t="shared" si="32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61">
        <v>155570554.84</v>
      </c>
      <c r="X33" s="21"/>
      <c r="Y33" s="21"/>
      <c r="Z33" s="21"/>
      <c r="AA33" s="21"/>
      <c r="AB33" s="21"/>
      <c r="AC33" s="21"/>
      <c r="AD33" s="21"/>
      <c r="AE33" s="21"/>
      <c r="AF33" s="261">
        <f t="shared" si="20"/>
        <v>537170269.50999999</v>
      </c>
      <c r="AG33" s="21">
        <f t="shared" si="21"/>
        <v>537170269.50999999</v>
      </c>
      <c r="AI33" s="176">
        <f t="shared" si="22"/>
        <v>-9.7991586942026504E-2</v>
      </c>
      <c r="AJ33" s="176">
        <f t="shared" si="4"/>
        <v>6.8686113827726311E-2</v>
      </c>
      <c r="AK33" s="176">
        <f t="shared" si="5"/>
        <v>3.1038504333366416E-2</v>
      </c>
      <c r="AL33" s="176">
        <f t="shared" si="6"/>
        <v>-0.22233334554525241</v>
      </c>
      <c r="AM33" s="176">
        <f t="shared" si="7"/>
        <v>1</v>
      </c>
      <c r="AN33" s="176">
        <f t="shared" si="8"/>
        <v>1</v>
      </c>
      <c r="AO33" s="176">
        <f t="shared" si="9"/>
        <v>1</v>
      </c>
      <c r="AP33" s="176">
        <f t="shared" si="10"/>
        <v>1</v>
      </c>
      <c r="AQ33" s="176">
        <f t="shared" si="11"/>
        <v>1</v>
      </c>
      <c r="AR33" s="176">
        <f t="shared" si="12"/>
        <v>1</v>
      </c>
      <c r="AS33" s="176">
        <f t="shared" si="13"/>
        <v>1</v>
      </c>
      <c r="AT33" s="176">
        <f t="shared" si="14"/>
        <v>1</v>
      </c>
      <c r="AU33" s="176">
        <f t="shared" si="15"/>
        <v>-5.5150078581546517E-2</v>
      </c>
      <c r="AV33" s="176">
        <f t="shared" si="16"/>
        <v>0.64828330713948445</v>
      </c>
    </row>
    <row r="34" spans="1:48" x14ac:dyDescent="0.25">
      <c r="A34" s="4" t="s">
        <v>59</v>
      </c>
      <c r="B34" s="5" t="s">
        <v>60</v>
      </c>
      <c r="C34" s="6">
        <f t="shared" ref="C34:N34" si="50">+C35</f>
        <v>180128645.87656832</v>
      </c>
      <c r="D34" s="6">
        <f t="shared" si="50"/>
        <v>185586708.02695835</v>
      </c>
      <c r="E34" s="6">
        <f t="shared" si="50"/>
        <v>424635982.99617833</v>
      </c>
      <c r="F34" s="6">
        <f t="shared" si="50"/>
        <v>181628645.87656832</v>
      </c>
      <c r="G34" s="6">
        <f t="shared" si="50"/>
        <v>181728645.87656832</v>
      </c>
      <c r="H34" s="6">
        <f t="shared" si="50"/>
        <v>179628645.87656832</v>
      </c>
      <c r="I34" s="6">
        <f t="shared" si="50"/>
        <v>180628645.87656832</v>
      </c>
      <c r="J34" s="6">
        <f t="shared" si="50"/>
        <v>182728645.87656832</v>
      </c>
      <c r="K34" s="6">
        <f t="shared" si="50"/>
        <v>183128645.87656832</v>
      </c>
      <c r="L34" s="6">
        <f t="shared" si="50"/>
        <v>182128645.87656832</v>
      </c>
      <c r="M34" s="6">
        <f t="shared" si="50"/>
        <v>183628645.87656832</v>
      </c>
      <c r="N34" s="6">
        <f t="shared" si="50"/>
        <v>179628645.87656832</v>
      </c>
      <c r="O34" s="6">
        <f t="shared" si="33"/>
        <v>971979982.77627325</v>
      </c>
      <c r="P34" s="6">
        <f t="shared" si="32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f t="shared" ref="W34" si="51">+W35</f>
        <v>284394207</v>
      </c>
      <c r="X34" s="6"/>
      <c r="Y34" s="6"/>
      <c r="Z34" s="6"/>
      <c r="AA34" s="6"/>
      <c r="AB34" s="6"/>
      <c r="AC34" s="6"/>
      <c r="AD34" s="6"/>
      <c r="AE34" s="6"/>
      <c r="AF34" s="6">
        <f t="shared" si="20"/>
        <v>597141030</v>
      </c>
      <c r="AG34" s="6">
        <f t="shared" si="21"/>
        <v>597141030</v>
      </c>
      <c r="AI34" s="174">
        <f t="shared" si="22"/>
        <v>0.39499839423277311</v>
      </c>
      <c r="AJ34" s="174">
        <f t="shared" si="4"/>
        <v>0.78782706790466817</v>
      </c>
      <c r="AK34" s="174">
        <f t="shared" si="5"/>
        <v>0.61286317320527328</v>
      </c>
      <c r="AL34" s="174">
        <f t="shared" si="6"/>
        <v>-0.56580040349620497</v>
      </c>
      <c r="AM34" s="174">
        <f t="shared" si="7"/>
        <v>1</v>
      </c>
      <c r="AN34" s="174">
        <f t="shared" si="8"/>
        <v>1</v>
      </c>
      <c r="AO34" s="174">
        <f t="shared" si="9"/>
        <v>1</v>
      </c>
      <c r="AP34" s="174">
        <f t="shared" si="10"/>
        <v>1</v>
      </c>
      <c r="AQ34" s="174">
        <f t="shared" si="11"/>
        <v>1</v>
      </c>
      <c r="AR34" s="174">
        <f t="shared" si="12"/>
        <v>1</v>
      </c>
      <c r="AS34" s="174">
        <f t="shared" si="13"/>
        <v>1</v>
      </c>
      <c r="AT34" s="174">
        <f t="shared" si="14"/>
        <v>1</v>
      </c>
      <c r="AU34" s="174">
        <f t="shared" si="15"/>
        <v>0.38564472460185661</v>
      </c>
      <c r="AV34" s="174">
        <f t="shared" si="16"/>
        <v>0.75377751232218582</v>
      </c>
    </row>
    <row r="35" spans="1:48" x14ac:dyDescent="0.25">
      <c r="A35" s="7" t="s">
        <v>61</v>
      </c>
      <c r="B35" s="8" t="s">
        <v>62</v>
      </c>
      <c r="C35" s="9">
        <f t="shared" ref="C35:N35" si="52">SUM(C36:C42)</f>
        <v>180128645.87656832</v>
      </c>
      <c r="D35" s="9">
        <f t="shared" si="52"/>
        <v>185586708.02695835</v>
      </c>
      <c r="E35" s="9">
        <f t="shared" si="52"/>
        <v>424635982.99617833</v>
      </c>
      <c r="F35" s="9">
        <f t="shared" si="52"/>
        <v>181628645.87656832</v>
      </c>
      <c r="G35" s="9">
        <f t="shared" si="52"/>
        <v>181728645.87656832</v>
      </c>
      <c r="H35" s="9">
        <f t="shared" si="52"/>
        <v>179628645.87656832</v>
      </c>
      <c r="I35" s="9">
        <f t="shared" si="52"/>
        <v>180628645.87656832</v>
      </c>
      <c r="J35" s="9">
        <f t="shared" si="52"/>
        <v>182728645.87656832</v>
      </c>
      <c r="K35" s="9">
        <f t="shared" si="52"/>
        <v>183128645.87656832</v>
      </c>
      <c r="L35" s="9">
        <f t="shared" si="52"/>
        <v>182128645.87656832</v>
      </c>
      <c r="M35" s="9">
        <f t="shared" si="52"/>
        <v>183628645.87656832</v>
      </c>
      <c r="N35" s="9">
        <f t="shared" si="52"/>
        <v>179628645.87656832</v>
      </c>
      <c r="O35" s="9">
        <f t="shared" si="33"/>
        <v>971979982.77627325</v>
      </c>
      <c r="P35" s="9">
        <f t="shared" si="32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f t="shared" ref="W35" si="53">SUM(W36:W42)</f>
        <v>284394207</v>
      </c>
      <c r="X35" s="9"/>
      <c r="Y35" s="9"/>
      <c r="Z35" s="9"/>
      <c r="AA35" s="9"/>
      <c r="AB35" s="9"/>
      <c r="AC35" s="9"/>
      <c r="AD35" s="9"/>
      <c r="AE35" s="9"/>
      <c r="AF35" s="9">
        <f t="shared" si="20"/>
        <v>597141030</v>
      </c>
      <c r="AG35" s="9">
        <f t="shared" si="21"/>
        <v>597141030</v>
      </c>
      <c r="AI35" s="175">
        <f t="shared" si="22"/>
        <v>0.39499839423277311</v>
      </c>
      <c r="AJ35" s="175">
        <f t="shared" si="4"/>
        <v>0.78782706790466817</v>
      </c>
      <c r="AK35" s="175">
        <f t="shared" si="5"/>
        <v>0.61286317320527328</v>
      </c>
      <c r="AL35" s="175">
        <f t="shared" si="6"/>
        <v>-0.56580040349620497</v>
      </c>
      <c r="AM35" s="175">
        <f t="shared" si="7"/>
        <v>1</v>
      </c>
      <c r="AN35" s="175">
        <f t="shared" si="8"/>
        <v>1</v>
      </c>
      <c r="AO35" s="175">
        <f t="shared" si="9"/>
        <v>1</v>
      </c>
      <c r="AP35" s="175">
        <f t="shared" si="10"/>
        <v>1</v>
      </c>
      <c r="AQ35" s="175">
        <f t="shared" si="11"/>
        <v>1</v>
      </c>
      <c r="AR35" s="175">
        <f t="shared" si="12"/>
        <v>1</v>
      </c>
      <c r="AS35" s="175">
        <f t="shared" si="13"/>
        <v>1</v>
      </c>
      <c r="AT35" s="175">
        <f t="shared" si="14"/>
        <v>1</v>
      </c>
      <c r="AU35" s="175">
        <f t="shared" si="15"/>
        <v>0.38564472460185661</v>
      </c>
      <c r="AV35" s="175">
        <f t="shared" si="16"/>
        <v>0.75377751232218582</v>
      </c>
    </row>
    <row r="36" spans="1:48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33"/>
        <v>8643249.1196100023</v>
      </c>
      <c r="P36" s="21">
        <f t="shared" si="32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61">
        <v>0</v>
      </c>
      <c r="X36" s="21"/>
      <c r="Y36" s="21"/>
      <c r="Z36" s="21"/>
      <c r="AA36" s="21"/>
      <c r="AB36" s="21"/>
      <c r="AC36" s="21"/>
      <c r="AD36" s="21"/>
      <c r="AE36" s="21"/>
      <c r="AF36" s="261">
        <f t="shared" si="20"/>
        <v>0</v>
      </c>
      <c r="AG36" s="21">
        <f t="shared" si="21"/>
        <v>0</v>
      </c>
      <c r="AI36" s="176" t="e">
        <f t="shared" si="22"/>
        <v>#DIV/0!</v>
      </c>
      <c r="AJ36" s="176" t="e">
        <f t="shared" si="4"/>
        <v>#DIV/0!</v>
      </c>
      <c r="AK36" s="176">
        <f t="shared" si="5"/>
        <v>1</v>
      </c>
      <c r="AL36" s="176" t="e">
        <f t="shared" si="6"/>
        <v>#DIV/0!</v>
      </c>
      <c r="AM36" s="176" t="e">
        <f t="shared" si="7"/>
        <v>#DIV/0!</v>
      </c>
      <c r="AN36" s="176" t="e">
        <f t="shared" si="8"/>
        <v>#DIV/0!</v>
      </c>
      <c r="AO36" s="176" t="e">
        <f t="shared" si="9"/>
        <v>#DIV/0!</v>
      </c>
      <c r="AP36" s="176" t="e">
        <f t="shared" si="10"/>
        <v>#DIV/0!</v>
      </c>
      <c r="AQ36" s="176" t="e">
        <f t="shared" si="11"/>
        <v>#DIV/0!</v>
      </c>
      <c r="AR36" s="176" t="e">
        <f t="shared" si="12"/>
        <v>#DIV/0!</v>
      </c>
      <c r="AS36" s="176" t="e">
        <f t="shared" si="13"/>
        <v>#DIV/0!</v>
      </c>
      <c r="AT36" s="176" t="e">
        <f t="shared" si="14"/>
        <v>#DIV/0!</v>
      </c>
      <c r="AU36" s="176">
        <f t="shared" si="15"/>
        <v>1</v>
      </c>
      <c r="AV36" s="176">
        <f t="shared" si="16"/>
        <v>1</v>
      </c>
    </row>
    <row r="37" spans="1:48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33"/>
        <v>26400</v>
      </c>
      <c r="P37" s="21">
        <f t="shared" si="32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61">
        <v>0</v>
      </c>
      <c r="X37" s="21"/>
      <c r="Y37" s="21"/>
      <c r="Z37" s="21"/>
      <c r="AA37" s="21"/>
      <c r="AB37" s="21"/>
      <c r="AC37" s="21"/>
      <c r="AD37" s="21"/>
      <c r="AE37" s="21"/>
      <c r="AF37" s="261">
        <f t="shared" si="20"/>
        <v>0</v>
      </c>
      <c r="AG37" s="21">
        <f t="shared" si="21"/>
        <v>0</v>
      </c>
      <c r="AI37" s="176" t="e">
        <f t="shared" si="22"/>
        <v>#DIV/0!</v>
      </c>
      <c r="AJ37" s="176" t="e">
        <f t="shared" si="4"/>
        <v>#DIV/0!</v>
      </c>
      <c r="AK37" s="176">
        <f t="shared" si="5"/>
        <v>1</v>
      </c>
      <c r="AL37" s="176" t="e">
        <f t="shared" si="6"/>
        <v>#DIV/0!</v>
      </c>
      <c r="AM37" s="176" t="e">
        <f t="shared" si="7"/>
        <v>#DIV/0!</v>
      </c>
      <c r="AN37" s="176" t="e">
        <f t="shared" si="8"/>
        <v>#DIV/0!</v>
      </c>
      <c r="AO37" s="176" t="e">
        <f t="shared" si="9"/>
        <v>#DIV/0!</v>
      </c>
      <c r="AP37" s="176" t="e">
        <f t="shared" si="10"/>
        <v>#DIV/0!</v>
      </c>
      <c r="AQ37" s="176" t="e">
        <f t="shared" si="11"/>
        <v>#DIV/0!</v>
      </c>
      <c r="AR37" s="176" t="e">
        <f t="shared" si="12"/>
        <v>#DIV/0!</v>
      </c>
      <c r="AS37" s="176" t="e">
        <f t="shared" si="13"/>
        <v>#DIV/0!</v>
      </c>
      <c r="AT37" s="176" t="e">
        <f t="shared" si="14"/>
        <v>#DIV/0!</v>
      </c>
      <c r="AU37" s="176">
        <f t="shared" si="15"/>
        <v>1</v>
      </c>
      <c r="AV37" s="176">
        <f t="shared" si="16"/>
        <v>1</v>
      </c>
    </row>
    <row r="38" spans="1:48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33"/>
        <v>96954358.549999967</v>
      </c>
      <c r="P38" s="21">
        <f t="shared" si="32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61">
        <v>24068550</v>
      </c>
      <c r="X38" s="21"/>
      <c r="Y38" s="21"/>
      <c r="Z38" s="21"/>
      <c r="AA38" s="21"/>
      <c r="AB38" s="21"/>
      <c r="AC38" s="21"/>
      <c r="AD38" s="21"/>
      <c r="AE38" s="21"/>
      <c r="AF38" s="261">
        <f t="shared" si="20"/>
        <v>80024542</v>
      </c>
      <c r="AG38" s="21">
        <f t="shared" si="21"/>
        <v>80024542</v>
      </c>
      <c r="AI38" s="176">
        <f t="shared" si="22"/>
        <v>0.23048303226590708</v>
      </c>
      <c r="AJ38" s="176">
        <f t="shared" si="4"/>
        <v>0.23048303226590708</v>
      </c>
      <c r="AK38" s="176">
        <f t="shared" si="5"/>
        <v>0.23048410493557925</v>
      </c>
      <c r="AL38" s="176">
        <f t="shared" si="6"/>
        <v>7.0152447004144247E-3</v>
      </c>
      <c r="AM38" s="176">
        <f t="shared" si="7"/>
        <v>1</v>
      </c>
      <c r="AN38" s="176">
        <f t="shared" si="8"/>
        <v>1</v>
      </c>
      <c r="AO38" s="176">
        <f t="shared" si="9"/>
        <v>1</v>
      </c>
      <c r="AP38" s="176">
        <f t="shared" si="10"/>
        <v>1</v>
      </c>
      <c r="AQ38" s="176">
        <f t="shared" si="11"/>
        <v>1</v>
      </c>
      <c r="AR38" s="176">
        <f t="shared" si="12"/>
        <v>1</v>
      </c>
      <c r="AS38" s="176">
        <f t="shared" si="13"/>
        <v>1</v>
      </c>
      <c r="AT38" s="176">
        <f t="shared" si="14"/>
        <v>1</v>
      </c>
      <c r="AU38" s="176">
        <f t="shared" si="15"/>
        <v>0.17461635354195196</v>
      </c>
      <c r="AV38" s="176">
        <f t="shared" si="16"/>
        <v>0.72487211784731731</v>
      </c>
    </row>
    <row r="39" spans="1:48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33"/>
        <v>2458062.150390001</v>
      </c>
      <c r="P39" s="21">
        <f t="shared" si="32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61">
        <v>150000</v>
      </c>
      <c r="X39" s="21"/>
      <c r="Y39" s="21"/>
      <c r="Z39" s="21"/>
      <c r="AA39" s="21"/>
      <c r="AB39" s="21"/>
      <c r="AC39" s="21"/>
      <c r="AD39" s="21"/>
      <c r="AE39" s="21"/>
      <c r="AF39" s="261">
        <f t="shared" si="20"/>
        <v>450000</v>
      </c>
      <c r="AG39" s="21">
        <f t="shared" si="21"/>
        <v>450000</v>
      </c>
      <c r="AI39" s="176" t="e">
        <f t="shared" si="22"/>
        <v>#DIV/0!</v>
      </c>
      <c r="AJ39" s="176">
        <f t="shared" si="4"/>
        <v>0.938976319221139</v>
      </c>
      <c r="AK39" s="176" t="e">
        <f t="shared" si="5"/>
        <v>#DIV/0!</v>
      </c>
      <c r="AL39" s="176" t="e">
        <f t="shared" si="6"/>
        <v>#DIV/0!</v>
      </c>
      <c r="AM39" s="176" t="e">
        <f t="shared" si="7"/>
        <v>#DIV/0!</v>
      </c>
      <c r="AN39" s="176" t="e">
        <f t="shared" si="8"/>
        <v>#DIV/0!</v>
      </c>
      <c r="AO39" s="176" t="e">
        <f t="shared" si="9"/>
        <v>#DIV/0!</v>
      </c>
      <c r="AP39" s="176" t="e">
        <f t="shared" si="10"/>
        <v>#DIV/0!</v>
      </c>
      <c r="AQ39" s="176" t="e">
        <f t="shared" si="11"/>
        <v>#DIV/0!</v>
      </c>
      <c r="AR39" s="176" t="e">
        <f t="shared" si="12"/>
        <v>#DIV/0!</v>
      </c>
      <c r="AS39" s="176" t="e">
        <f t="shared" si="13"/>
        <v>#DIV/0!</v>
      </c>
      <c r="AT39" s="176" t="e">
        <f t="shared" si="14"/>
        <v>#DIV/0!</v>
      </c>
      <c r="AU39" s="176">
        <f t="shared" si="15"/>
        <v>0.816928957663417</v>
      </c>
      <c r="AV39" s="176">
        <f t="shared" si="16"/>
        <v>0.816928957663417</v>
      </c>
    </row>
    <row r="40" spans="1:48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33"/>
        <v>71560224.956273362</v>
      </c>
      <c r="P40" s="21">
        <f t="shared" si="32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61">
        <v>147240794</v>
      </c>
      <c r="X40" s="21"/>
      <c r="Y40" s="21"/>
      <c r="Z40" s="21"/>
      <c r="AA40" s="21"/>
      <c r="AB40" s="21"/>
      <c r="AC40" s="21"/>
      <c r="AD40" s="21"/>
      <c r="AE40" s="21"/>
      <c r="AF40" s="261">
        <f t="shared" si="20"/>
        <v>301985813</v>
      </c>
      <c r="AG40" s="21">
        <f t="shared" si="21"/>
        <v>301985813</v>
      </c>
      <c r="AI40" s="176">
        <f t="shared" si="22"/>
        <v>-1.6306036365177368</v>
      </c>
      <c r="AJ40" s="176">
        <f t="shared" si="4"/>
        <v>1</v>
      </c>
      <c r="AK40" s="176">
        <f t="shared" si="5"/>
        <v>-5.019174594031786</v>
      </c>
      <c r="AL40" s="176">
        <f t="shared" si="6"/>
        <v>-7.2303147643804078</v>
      </c>
      <c r="AM40" s="176">
        <f t="shared" si="7"/>
        <v>1</v>
      </c>
      <c r="AN40" s="176">
        <f t="shared" si="8"/>
        <v>1</v>
      </c>
      <c r="AO40" s="176">
        <f t="shared" si="9"/>
        <v>1</v>
      </c>
      <c r="AP40" s="176">
        <f t="shared" si="10"/>
        <v>1</v>
      </c>
      <c r="AQ40" s="176">
        <f t="shared" si="11"/>
        <v>1</v>
      </c>
      <c r="AR40" s="176">
        <f t="shared" si="12"/>
        <v>1</v>
      </c>
      <c r="AS40" s="176">
        <f t="shared" si="13"/>
        <v>1</v>
      </c>
      <c r="AT40" s="176">
        <f t="shared" si="14"/>
        <v>1</v>
      </c>
      <c r="AU40" s="176">
        <f t="shared" si="15"/>
        <v>-3.2200232487324825</v>
      </c>
      <c r="AV40" s="176">
        <f t="shared" si="16"/>
        <v>-0.40667441624416117</v>
      </c>
    </row>
    <row r="41" spans="1:48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33"/>
        <v>292337688</v>
      </c>
      <c r="P41" s="21">
        <f t="shared" si="32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61">
        <v>112934863</v>
      </c>
      <c r="X41" s="21"/>
      <c r="Y41" s="21"/>
      <c r="Z41" s="21"/>
      <c r="AA41" s="21"/>
      <c r="AB41" s="21"/>
      <c r="AC41" s="21"/>
      <c r="AD41" s="21"/>
      <c r="AE41" s="21"/>
      <c r="AF41" s="261">
        <f t="shared" si="20"/>
        <v>214680675</v>
      </c>
      <c r="AG41" s="21">
        <f t="shared" si="21"/>
        <v>214680675</v>
      </c>
      <c r="AI41" s="176">
        <f t="shared" si="22"/>
        <v>-2.3280359230769232</v>
      </c>
      <c r="AJ41" s="176">
        <f t="shared" si="4"/>
        <v>-0.28590437499999999</v>
      </c>
      <c r="AK41" s="176">
        <f t="shared" si="5"/>
        <v>0.84766425333448681</v>
      </c>
      <c r="AL41" s="176">
        <f t="shared" si="6"/>
        <v>-6.7886112413793107</v>
      </c>
      <c r="AM41" s="176">
        <f t="shared" si="7"/>
        <v>1</v>
      </c>
      <c r="AN41" s="176">
        <f t="shared" si="8"/>
        <v>1</v>
      </c>
      <c r="AO41" s="176">
        <f t="shared" si="9"/>
        <v>1</v>
      </c>
      <c r="AP41" s="176">
        <f t="shared" si="10"/>
        <v>1</v>
      </c>
      <c r="AQ41" s="176">
        <f t="shared" si="11"/>
        <v>1</v>
      </c>
      <c r="AR41" s="176">
        <f t="shared" si="12"/>
        <v>1</v>
      </c>
      <c r="AS41" s="176">
        <f t="shared" si="13"/>
        <v>1</v>
      </c>
      <c r="AT41" s="176">
        <f t="shared" si="14"/>
        <v>1</v>
      </c>
      <c r="AU41" s="176">
        <f t="shared" si="15"/>
        <v>0.26564146939548894</v>
      </c>
      <c r="AV41" s="176">
        <f t="shared" si="16"/>
        <v>0.47451439290467617</v>
      </c>
    </row>
    <row r="42" spans="1:48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33"/>
        <v>500000000</v>
      </c>
      <c r="P42" s="21">
        <f t="shared" si="32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61">
        <v>0</v>
      </c>
      <c r="X42" s="21"/>
      <c r="Y42" s="21"/>
      <c r="Z42" s="21"/>
      <c r="AA42" s="21"/>
      <c r="AB42" s="21"/>
      <c r="AC42" s="21"/>
      <c r="AD42" s="21"/>
      <c r="AE42" s="21"/>
      <c r="AF42" s="261">
        <f t="shared" si="20"/>
        <v>0</v>
      </c>
      <c r="AG42" s="21">
        <f t="shared" si="21"/>
        <v>0</v>
      </c>
      <c r="AI42" s="176">
        <f t="shared" si="22"/>
        <v>1</v>
      </c>
      <c r="AJ42" s="176">
        <f t="shared" si="4"/>
        <v>1</v>
      </c>
      <c r="AK42" s="176">
        <f t="shared" si="5"/>
        <v>1</v>
      </c>
      <c r="AL42" s="176">
        <f t="shared" si="6"/>
        <v>1</v>
      </c>
      <c r="AM42" s="176">
        <f t="shared" si="7"/>
        <v>1</v>
      </c>
      <c r="AN42" s="176">
        <f t="shared" si="8"/>
        <v>1</v>
      </c>
      <c r="AO42" s="176">
        <f t="shared" si="9"/>
        <v>1</v>
      </c>
      <c r="AP42" s="176">
        <f t="shared" si="10"/>
        <v>1</v>
      </c>
      <c r="AQ42" s="176">
        <f t="shared" si="11"/>
        <v>1</v>
      </c>
      <c r="AR42" s="176">
        <f t="shared" si="12"/>
        <v>1</v>
      </c>
      <c r="AS42" s="176">
        <f t="shared" si="13"/>
        <v>1</v>
      </c>
      <c r="AT42" s="176">
        <f t="shared" si="14"/>
        <v>1</v>
      </c>
      <c r="AU42" s="176">
        <f t="shared" si="15"/>
        <v>1</v>
      </c>
      <c r="AV42" s="176">
        <f t="shared" si="16"/>
        <v>1</v>
      </c>
    </row>
    <row r="43" spans="1:48" x14ac:dyDescent="0.25">
      <c r="A43" s="4" t="s">
        <v>77</v>
      </c>
      <c r="B43" s="5" t="s">
        <v>78</v>
      </c>
      <c r="C43" s="6">
        <f t="shared" ref="C43:N43" si="54">+C44+C55</f>
        <v>2334146519.7250986</v>
      </c>
      <c r="D43" s="6">
        <f t="shared" si="54"/>
        <v>3357373340.7250996</v>
      </c>
      <c r="E43" s="6">
        <f t="shared" si="54"/>
        <v>3127712941.9050989</v>
      </c>
      <c r="F43" s="6">
        <f t="shared" si="54"/>
        <v>2958170660.9050989</v>
      </c>
      <c r="G43" s="6">
        <f t="shared" si="54"/>
        <v>2515766356.9050989</v>
      </c>
      <c r="H43" s="6">
        <f t="shared" si="54"/>
        <v>2754339949.9050989</v>
      </c>
      <c r="I43" s="6">
        <f t="shared" si="54"/>
        <v>3006680204.7250996</v>
      </c>
      <c r="J43" s="6">
        <f t="shared" si="54"/>
        <v>3440517798.9050989</v>
      </c>
      <c r="K43" s="6">
        <f t="shared" si="54"/>
        <v>2670614970.9050989</v>
      </c>
      <c r="L43" s="6">
        <f t="shared" si="54"/>
        <v>2482066356.9050989</v>
      </c>
      <c r="M43" s="6">
        <f t="shared" si="54"/>
        <v>2439066356.9050989</v>
      </c>
      <c r="N43" s="6">
        <f t="shared" si="54"/>
        <v>2308846519.7250986</v>
      </c>
      <c r="O43" s="6">
        <f t="shared" si="33"/>
        <v>11777403463.260395</v>
      </c>
      <c r="P43" s="6">
        <f t="shared" si="32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f t="shared" ref="W43" si="55">+W44+W55+W68</f>
        <v>942566747</v>
      </c>
      <c r="X43" s="6"/>
      <c r="Y43" s="6"/>
      <c r="Z43" s="6"/>
      <c r="AA43" s="6"/>
      <c r="AB43" s="6"/>
      <c r="AC43" s="6"/>
      <c r="AD43" s="6"/>
      <c r="AE43" s="6"/>
      <c r="AF43" s="6">
        <f t="shared" si="20"/>
        <v>20416576848</v>
      </c>
      <c r="AG43" s="6">
        <f t="shared" si="21"/>
        <v>20416576848</v>
      </c>
      <c r="AI43" s="174">
        <f t="shared" si="22"/>
        <v>-4.122275429139779</v>
      </c>
      <c r="AJ43" s="174">
        <f t="shared" si="4"/>
        <v>0.3135134487300632</v>
      </c>
      <c r="AK43" s="174">
        <f t="shared" si="5"/>
        <v>-0.6667377044597641</v>
      </c>
      <c r="AL43" s="174">
        <f t="shared" si="6"/>
        <v>0.68136836746545015</v>
      </c>
      <c r="AM43" s="174">
        <f t="shared" si="7"/>
        <v>1</v>
      </c>
      <c r="AN43" s="174">
        <f t="shared" si="8"/>
        <v>1</v>
      </c>
      <c r="AO43" s="174">
        <f t="shared" si="9"/>
        <v>1</v>
      </c>
      <c r="AP43" s="174">
        <f t="shared" si="10"/>
        <v>1</v>
      </c>
      <c r="AQ43" s="174">
        <f t="shared" si="11"/>
        <v>1</v>
      </c>
      <c r="AR43" s="174">
        <f t="shared" si="12"/>
        <v>1</v>
      </c>
      <c r="AS43" s="174">
        <f t="shared" si="13"/>
        <v>1</v>
      </c>
      <c r="AT43" s="174">
        <f t="shared" si="14"/>
        <v>1</v>
      </c>
      <c r="AU43" s="174">
        <f t="shared" si="15"/>
        <v>-0.7335380342271115</v>
      </c>
      <c r="AV43" s="174">
        <f t="shared" si="16"/>
        <v>0.38863925047410491</v>
      </c>
    </row>
    <row r="44" spans="1:48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56">+D45</f>
        <v>2732596184.8375993</v>
      </c>
      <c r="E44" s="6">
        <f t="shared" si="56"/>
        <v>2528441875.0175991</v>
      </c>
      <c r="F44" s="6">
        <f t="shared" si="56"/>
        <v>2363899594.0175986</v>
      </c>
      <c r="G44" s="6">
        <f t="shared" si="56"/>
        <v>1903495290.0175986</v>
      </c>
      <c r="H44" s="6">
        <f t="shared" si="56"/>
        <v>2129068883.0175986</v>
      </c>
      <c r="I44" s="6">
        <f t="shared" si="56"/>
        <v>2422052629.8375993</v>
      </c>
      <c r="J44" s="6">
        <f t="shared" si="56"/>
        <v>2831405885.0175991</v>
      </c>
      <c r="K44" s="6">
        <f t="shared" si="56"/>
        <v>2060343904.0175986</v>
      </c>
      <c r="L44" s="6">
        <f t="shared" si="56"/>
        <v>1887795290.0175986</v>
      </c>
      <c r="M44" s="6">
        <f t="shared" si="56"/>
        <v>1844795290.0175986</v>
      </c>
      <c r="N44" s="6">
        <f t="shared" si="56"/>
        <v>1750268944.8375986</v>
      </c>
      <c r="O44" s="6">
        <f t="shared" si="33"/>
        <v>9400206598.7103958</v>
      </c>
      <c r="P44" s="6">
        <f t="shared" si="56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f t="shared" ref="W44" si="57">+W45</f>
        <v>802566747</v>
      </c>
      <c r="X44" s="6"/>
      <c r="Y44" s="6"/>
      <c r="Z44" s="6"/>
      <c r="AA44" s="6"/>
      <c r="AB44" s="6"/>
      <c r="AC44" s="6"/>
      <c r="AD44" s="6"/>
      <c r="AE44" s="6"/>
      <c r="AF44" s="6">
        <f t="shared" si="20"/>
        <v>16690836516</v>
      </c>
      <c r="AG44" s="6">
        <f t="shared" si="21"/>
        <v>16690836516</v>
      </c>
      <c r="AI44" s="174">
        <f t="shared" si="22"/>
        <v>-4.4198476810961118</v>
      </c>
      <c r="AJ44" s="174">
        <f t="shared" si="4"/>
        <v>0.26634178254217733</v>
      </c>
      <c r="AK44" s="174">
        <f t="shared" si="5"/>
        <v>-0.68554036820416764</v>
      </c>
      <c r="AL44" s="174">
        <f t="shared" si="6"/>
        <v>0.66049034018573249</v>
      </c>
      <c r="AM44" s="174">
        <f t="shared" si="7"/>
        <v>1</v>
      </c>
      <c r="AN44" s="174">
        <f t="shared" si="8"/>
        <v>1</v>
      </c>
      <c r="AO44" s="174">
        <f t="shared" si="9"/>
        <v>1</v>
      </c>
      <c r="AP44" s="174">
        <f t="shared" si="10"/>
        <v>1</v>
      </c>
      <c r="AQ44" s="174">
        <f t="shared" si="11"/>
        <v>1</v>
      </c>
      <c r="AR44" s="174">
        <f t="shared" si="12"/>
        <v>1</v>
      </c>
      <c r="AS44" s="174">
        <f t="shared" si="13"/>
        <v>1</v>
      </c>
      <c r="AT44" s="174">
        <f t="shared" si="14"/>
        <v>1</v>
      </c>
      <c r="AU44" s="174">
        <f t="shared" si="15"/>
        <v>-0.77558188117799431</v>
      </c>
      <c r="AV44" s="174">
        <f t="shared" si="16"/>
        <v>0.36366002661802355</v>
      </c>
    </row>
    <row r="45" spans="1:48" x14ac:dyDescent="0.25">
      <c r="A45" s="7" t="s">
        <v>80</v>
      </c>
      <c r="B45" s="8" t="s">
        <v>16</v>
      </c>
      <c r="C45" s="9">
        <f t="shared" ref="C45:N45" si="58">SUM(C46:C54)</f>
        <v>1775268944.8375986</v>
      </c>
      <c r="D45" s="9">
        <f t="shared" si="58"/>
        <v>2732596184.8375993</v>
      </c>
      <c r="E45" s="9">
        <f t="shared" si="58"/>
        <v>2528441875.0175991</v>
      </c>
      <c r="F45" s="9">
        <f t="shared" si="58"/>
        <v>2363899594.0175986</v>
      </c>
      <c r="G45" s="9">
        <f t="shared" si="58"/>
        <v>1903495290.0175986</v>
      </c>
      <c r="H45" s="9">
        <f t="shared" si="58"/>
        <v>2129068883.0175986</v>
      </c>
      <c r="I45" s="9">
        <f t="shared" si="58"/>
        <v>2422052629.8375993</v>
      </c>
      <c r="J45" s="9">
        <f t="shared" si="58"/>
        <v>2831405885.0175991</v>
      </c>
      <c r="K45" s="9">
        <f t="shared" si="58"/>
        <v>2060343904.0175986</v>
      </c>
      <c r="L45" s="9">
        <f t="shared" si="58"/>
        <v>1887795290.0175986</v>
      </c>
      <c r="M45" s="9">
        <f t="shared" si="58"/>
        <v>1844795290.0175986</v>
      </c>
      <c r="N45" s="9">
        <f t="shared" si="58"/>
        <v>1750268944.8375986</v>
      </c>
      <c r="O45" s="9">
        <f t="shared" si="33"/>
        <v>9400206598.7103958</v>
      </c>
      <c r="P45" s="9">
        <f t="shared" ref="P45:P71" si="59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f t="shared" ref="W45" si="60">SUM(W46:W54)</f>
        <v>802566747</v>
      </c>
      <c r="X45" s="9"/>
      <c r="Y45" s="9"/>
      <c r="Z45" s="9"/>
      <c r="AA45" s="9"/>
      <c r="AB45" s="9"/>
      <c r="AC45" s="9"/>
      <c r="AD45" s="9"/>
      <c r="AE45" s="9"/>
      <c r="AF45" s="9">
        <f t="shared" si="20"/>
        <v>16690836516</v>
      </c>
      <c r="AG45" s="9">
        <f t="shared" si="21"/>
        <v>16690836516</v>
      </c>
      <c r="AI45" s="175">
        <f t="shared" si="22"/>
        <v>-4.4198476810961118</v>
      </c>
      <c r="AJ45" s="175">
        <f t="shared" si="4"/>
        <v>0.26634178254217733</v>
      </c>
      <c r="AK45" s="175">
        <f t="shared" si="5"/>
        <v>-0.68554036820416764</v>
      </c>
      <c r="AL45" s="175">
        <f t="shared" si="6"/>
        <v>0.66049034018573249</v>
      </c>
      <c r="AM45" s="175">
        <f t="shared" si="7"/>
        <v>1</v>
      </c>
      <c r="AN45" s="175">
        <f t="shared" si="8"/>
        <v>1</v>
      </c>
      <c r="AO45" s="175">
        <f t="shared" si="9"/>
        <v>1</v>
      </c>
      <c r="AP45" s="175">
        <f t="shared" si="10"/>
        <v>1</v>
      </c>
      <c r="AQ45" s="175">
        <f t="shared" si="11"/>
        <v>1</v>
      </c>
      <c r="AR45" s="175">
        <f t="shared" si="12"/>
        <v>1</v>
      </c>
      <c r="AS45" s="175">
        <f t="shared" si="13"/>
        <v>1</v>
      </c>
      <c r="AT45" s="175">
        <f t="shared" si="14"/>
        <v>1</v>
      </c>
      <c r="AU45" s="175">
        <f t="shared" si="15"/>
        <v>-0.77558188117799431</v>
      </c>
      <c r="AV45" s="175">
        <f t="shared" si="16"/>
        <v>0.36366002661802355</v>
      </c>
    </row>
    <row r="46" spans="1:48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33"/>
        <v>8461411616.4103947</v>
      </c>
      <c r="P46" s="21">
        <f t="shared" si="59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61">
        <v>802566747</v>
      </c>
      <c r="X46" s="21"/>
      <c r="Y46" s="21"/>
      <c r="Z46" s="21"/>
      <c r="AA46" s="21"/>
      <c r="AB46" s="21"/>
      <c r="AC46" s="21"/>
      <c r="AD46" s="21"/>
      <c r="AE46" s="21"/>
      <c r="AF46" s="261">
        <f t="shared" si="20"/>
        <v>15740836516</v>
      </c>
      <c r="AG46" s="21">
        <f t="shared" si="21"/>
        <v>15740836516</v>
      </c>
      <c r="AI46" s="176">
        <f t="shared" si="22"/>
        <v>-4.8930070628809288</v>
      </c>
      <c r="AJ46" s="176">
        <f t="shared" si="4"/>
        <v>0.23966804045246035</v>
      </c>
      <c r="AK46" s="176">
        <f t="shared" si="5"/>
        <v>-0.70937752772217566</v>
      </c>
      <c r="AL46" s="176">
        <f t="shared" si="6"/>
        <v>0.62141073206564446</v>
      </c>
      <c r="AM46" s="176">
        <f t="shared" si="7"/>
        <v>1</v>
      </c>
      <c r="AN46" s="176">
        <f t="shared" si="8"/>
        <v>1</v>
      </c>
      <c r="AO46" s="176">
        <f t="shared" si="9"/>
        <v>1</v>
      </c>
      <c r="AP46" s="176">
        <f t="shared" si="10"/>
        <v>1</v>
      </c>
      <c r="AQ46" s="176">
        <f t="shared" si="11"/>
        <v>1</v>
      </c>
      <c r="AR46" s="176">
        <f t="shared" si="12"/>
        <v>1</v>
      </c>
      <c r="AS46" s="176">
        <f t="shared" si="13"/>
        <v>1</v>
      </c>
      <c r="AT46" s="176">
        <f t="shared" si="14"/>
        <v>1</v>
      </c>
      <c r="AU46" s="176">
        <f t="shared" si="15"/>
        <v>-0.86030856665471778</v>
      </c>
      <c r="AV46" s="176">
        <f t="shared" si="16"/>
        <v>0.32704996581456297</v>
      </c>
    </row>
    <row r="47" spans="1:48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33"/>
        <v>13586951.699999997</v>
      </c>
      <c r="P47" s="21">
        <f t="shared" si="59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61">
        <v>0</v>
      </c>
      <c r="X47" s="21"/>
      <c r="Y47" s="21"/>
      <c r="Z47" s="21"/>
      <c r="AA47" s="21"/>
      <c r="AB47" s="21"/>
      <c r="AC47" s="21"/>
      <c r="AD47" s="21"/>
      <c r="AE47" s="21"/>
      <c r="AF47" s="261">
        <f t="shared" si="20"/>
        <v>0</v>
      </c>
      <c r="AG47" s="21">
        <f t="shared" si="21"/>
        <v>0</v>
      </c>
      <c r="AI47" s="176">
        <f t="shared" si="22"/>
        <v>1</v>
      </c>
      <c r="AJ47" s="176">
        <f t="shared" si="4"/>
        <v>1</v>
      </c>
      <c r="AK47" s="176">
        <f t="shared" si="5"/>
        <v>1</v>
      </c>
      <c r="AL47" s="176">
        <f t="shared" si="6"/>
        <v>1</v>
      </c>
      <c r="AM47" s="176">
        <f t="shared" si="7"/>
        <v>1</v>
      </c>
      <c r="AN47" s="176">
        <f t="shared" si="8"/>
        <v>1</v>
      </c>
      <c r="AO47" s="176">
        <f t="shared" si="9"/>
        <v>1</v>
      </c>
      <c r="AP47" s="176">
        <f t="shared" si="10"/>
        <v>1</v>
      </c>
      <c r="AQ47" s="176">
        <f t="shared" si="11"/>
        <v>1</v>
      </c>
      <c r="AR47" s="176">
        <f t="shared" si="12"/>
        <v>1</v>
      </c>
      <c r="AS47" s="176">
        <f t="shared" si="13"/>
        <v>1</v>
      </c>
      <c r="AT47" s="176">
        <f t="shared" si="14"/>
        <v>1</v>
      </c>
      <c r="AU47" s="176">
        <f t="shared" si="15"/>
        <v>1</v>
      </c>
      <c r="AV47" s="176">
        <f t="shared" si="16"/>
        <v>1</v>
      </c>
    </row>
    <row r="48" spans="1:48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33"/>
        <v>19877806.199999996</v>
      </c>
      <c r="P48" s="21">
        <f t="shared" si="59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61">
        <v>0</v>
      </c>
      <c r="X48" s="21"/>
      <c r="Y48" s="21"/>
      <c r="Z48" s="21"/>
      <c r="AA48" s="21"/>
      <c r="AB48" s="21"/>
      <c r="AC48" s="21"/>
      <c r="AD48" s="21"/>
      <c r="AE48" s="21"/>
      <c r="AF48" s="261">
        <f t="shared" si="20"/>
        <v>0</v>
      </c>
      <c r="AG48" s="21">
        <f t="shared" si="21"/>
        <v>0</v>
      </c>
      <c r="AI48" s="176">
        <f t="shared" si="22"/>
        <v>1</v>
      </c>
      <c r="AJ48" s="176">
        <f t="shared" si="4"/>
        <v>1</v>
      </c>
      <c r="AK48" s="176">
        <f t="shared" si="5"/>
        <v>1</v>
      </c>
      <c r="AL48" s="176">
        <f t="shared" si="6"/>
        <v>1</v>
      </c>
      <c r="AM48" s="176">
        <f t="shared" si="7"/>
        <v>1</v>
      </c>
      <c r="AN48" s="176">
        <f t="shared" si="8"/>
        <v>1</v>
      </c>
      <c r="AO48" s="176">
        <f t="shared" si="9"/>
        <v>1</v>
      </c>
      <c r="AP48" s="176">
        <f t="shared" si="10"/>
        <v>1</v>
      </c>
      <c r="AQ48" s="176">
        <f t="shared" si="11"/>
        <v>1</v>
      </c>
      <c r="AR48" s="176">
        <f t="shared" si="12"/>
        <v>1</v>
      </c>
      <c r="AS48" s="176">
        <f t="shared" si="13"/>
        <v>1</v>
      </c>
      <c r="AT48" s="176">
        <f t="shared" si="14"/>
        <v>1</v>
      </c>
      <c r="AU48" s="176">
        <f t="shared" si="15"/>
        <v>1</v>
      </c>
      <c r="AV48" s="176">
        <f t="shared" si="16"/>
        <v>1</v>
      </c>
    </row>
    <row r="49" spans="1:48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33"/>
        <v>101792095.64999999</v>
      </c>
      <c r="P49" s="21">
        <f t="shared" si="59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61">
        <v>0</v>
      </c>
      <c r="X49" s="21"/>
      <c r="Y49" s="21"/>
      <c r="Z49" s="21"/>
      <c r="AA49" s="21"/>
      <c r="AB49" s="21"/>
      <c r="AC49" s="21"/>
      <c r="AD49" s="21"/>
      <c r="AE49" s="21"/>
      <c r="AF49" s="261">
        <f t="shared" si="20"/>
        <v>0</v>
      </c>
      <c r="AG49" s="21">
        <f t="shared" si="21"/>
        <v>0</v>
      </c>
      <c r="AI49" s="176">
        <f t="shared" si="22"/>
        <v>1</v>
      </c>
      <c r="AJ49" s="176">
        <f t="shared" si="4"/>
        <v>1</v>
      </c>
      <c r="AK49" s="176">
        <f t="shared" si="5"/>
        <v>1</v>
      </c>
      <c r="AL49" s="176">
        <f t="shared" si="6"/>
        <v>1</v>
      </c>
      <c r="AM49" s="176">
        <f t="shared" si="7"/>
        <v>1</v>
      </c>
      <c r="AN49" s="176">
        <f t="shared" si="8"/>
        <v>1</v>
      </c>
      <c r="AO49" s="176">
        <f t="shared" si="9"/>
        <v>1</v>
      </c>
      <c r="AP49" s="176">
        <f t="shared" si="10"/>
        <v>1</v>
      </c>
      <c r="AQ49" s="176">
        <f t="shared" si="11"/>
        <v>1</v>
      </c>
      <c r="AR49" s="176">
        <f t="shared" si="12"/>
        <v>1</v>
      </c>
      <c r="AS49" s="176">
        <f t="shared" si="13"/>
        <v>1</v>
      </c>
      <c r="AT49" s="176">
        <f t="shared" si="14"/>
        <v>1</v>
      </c>
      <c r="AU49" s="176">
        <f t="shared" si="15"/>
        <v>1</v>
      </c>
      <c r="AV49" s="176">
        <f t="shared" si="16"/>
        <v>1</v>
      </c>
    </row>
    <row r="50" spans="1:48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33"/>
        <v>28297228.399999995</v>
      </c>
      <c r="P50" s="21">
        <f t="shared" si="59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61">
        <v>0</v>
      </c>
      <c r="X50" s="21"/>
      <c r="Y50" s="21"/>
      <c r="Z50" s="21"/>
      <c r="AA50" s="21"/>
      <c r="AB50" s="21"/>
      <c r="AC50" s="21"/>
      <c r="AD50" s="21"/>
      <c r="AE50" s="21"/>
      <c r="AF50" s="261">
        <f t="shared" si="20"/>
        <v>0</v>
      </c>
      <c r="AG50" s="21">
        <f t="shared" si="21"/>
        <v>0</v>
      </c>
      <c r="AI50" s="176">
        <f t="shared" si="22"/>
        <v>1</v>
      </c>
      <c r="AJ50" s="176">
        <f t="shared" si="4"/>
        <v>1</v>
      </c>
      <c r="AK50" s="176">
        <f t="shared" si="5"/>
        <v>1</v>
      </c>
      <c r="AL50" s="176">
        <f t="shared" si="6"/>
        <v>1</v>
      </c>
      <c r="AM50" s="176">
        <f t="shared" si="7"/>
        <v>1</v>
      </c>
      <c r="AN50" s="176">
        <f t="shared" si="8"/>
        <v>1</v>
      </c>
      <c r="AO50" s="176">
        <f t="shared" si="9"/>
        <v>1</v>
      </c>
      <c r="AP50" s="176">
        <f t="shared" si="10"/>
        <v>1</v>
      </c>
      <c r="AQ50" s="176">
        <f t="shared" si="11"/>
        <v>1</v>
      </c>
      <c r="AR50" s="176">
        <f t="shared" si="12"/>
        <v>1</v>
      </c>
      <c r="AS50" s="176">
        <f t="shared" si="13"/>
        <v>1</v>
      </c>
      <c r="AT50" s="176">
        <f t="shared" si="14"/>
        <v>1</v>
      </c>
      <c r="AU50" s="176">
        <f t="shared" si="15"/>
        <v>1</v>
      </c>
      <c r="AV50" s="176">
        <f t="shared" si="16"/>
        <v>1</v>
      </c>
    </row>
    <row r="51" spans="1:48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33"/>
        <v>39359150.600000009</v>
      </c>
      <c r="P51" s="21">
        <f t="shared" si="59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61">
        <v>0</v>
      </c>
      <c r="X51" s="21"/>
      <c r="Y51" s="21"/>
      <c r="Z51" s="21"/>
      <c r="AA51" s="21"/>
      <c r="AB51" s="21"/>
      <c r="AC51" s="21"/>
      <c r="AD51" s="21"/>
      <c r="AE51" s="21"/>
      <c r="AF51" s="261">
        <f t="shared" si="20"/>
        <v>0</v>
      </c>
      <c r="AG51" s="21">
        <f t="shared" si="21"/>
        <v>0</v>
      </c>
      <c r="AI51" s="176">
        <f t="shared" si="22"/>
        <v>1</v>
      </c>
      <c r="AJ51" s="176">
        <f t="shared" si="4"/>
        <v>1</v>
      </c>
      <c r="AK51" s="176">
        <f t="shared" si="5"/>
        <v>1</v>
      </c>
      <c r="AL51" s="176">
        <f t="shared" si="6"/>
        <v>1</v>
      </c>
      <c r="AM51" s="176">
        <f t="shared" si="7"/>
        <v>1</v>
      </c>
      <c r="AN51" s="176">
        <f t="shared" si="8"/>
        <v>1</v>
      </c>
      <c r="AO51" s="176">
        <f t="shared" si="9"/>
        <v>1</v>
      </c>
      <c r="AP51" s="176">
        <f t="shared" si="10"/>
        <v>1</v>
      </c>
      <c r="AQ51" s="176">
        <f t="shared" si="11"/>
        <v>1</v>
      </c>
      <c r="AR51" s="176">
        <f t="shared" si="12"/>
        <v>1</v>
      </c>
      <c r="AS51" s="176">
        <f t="shared" si="13"/>
        <v>1</v>
      </c>
      <c r="AT51" s="176">
        <f t="shared" si="14"/>
        <v>1</v>
      </c>
      <c r="AU51" s="176">
        <f t="shared" si="15"/>
        <v>1</v>
      </c>
      <c r="AV51" s="176">
        <f t="shared" si="16"/>
        <v>1</v>
      </c>
    </row>
    <row r="52" spans="1:48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33"/>
        <v>370156812.19999999</v>
      </c>
      <c r="P52" s="21">
        <f t="shared" si="59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61">
        <v>0</v>
      </c>
      <c r="X52" s="21"/>
      <c r="Y52" s="21"/>
      <c r="Z52" s="21"/>
      <c r="AA52" s="21"/>
      <c r="AB52" s="21"/>
      <c r="AC52" s="21"/>
      <c r="AD52" s="21"/>
      <c r="AE52" s="21"/>
      <c r="AF52" s="261">
        <f t="shared" si="20"/>
        <v>475000000</v>
      </c>
      <c r="AG52" s="21">
        <f t="shared" si="21"/>
        <v>475000000</v>
      </c>
      <c r="AI52" s="176">
        <f t="shared" si="22"/>
        <v>-1.7015577372643043</v>
      </c>
      <c r="AJ52" s="176">
        <f t="shared" si="4"/>
        <v>0.45968845254713914</v>
      </c>
      <c r="AK52" s="176">
        <f t="shared" si="5"/>
        <v>-0.89109041608501305</v>
      </c>
      <c r="AL52" s="176">
        <f t="shared" si="6"/>
        <v>1</v>
      </c>
      <c r="AM52" s="176">
        <f t="shared" si="7"/>
        <v>1</v>
      </c>
      <c r="AN52" s="176">
        <f t="shared" si="8"/>
        <v>1</v>
      </c>
      <c r="AO52" s="176">
        <f t="shared" si="9"/>
        <v>1</v>
      </c>
      <c r="AP52" s="176">
        <f t="shared" si="10"/>
        <v>1</v>
      </c>
      <c r="AQ52" s="176">
        <f t="shared" si="11"/>
        <v>1</v>
      </c>
      <c r="AR52" s="176">
        <f t="shared" si="12"/>
        <v>1</v>
      </c>
      <c r="AS52" s="176">
        <f t="shared" si="13"/>
        <v>1</v>
      </c>
      <c r="AT52" s="176">
        <f t="shared" si="14"/>
        <v>1</v>
      </c>
      <c r="AU52" s="176">
        <f t="shared" si="15"/>
        <v>-0.28323992520054453</v>
      </c>
      <c r="AV52" s="176">
        <f t="shared" si="16"/>
        <v>0.57225335826648505</v>
      </c>
    </row>
    <row r="53" spans="1:48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33"/>
        <v>352474937.55000013</v>
      </c>
      <c r="P53" s="21">
        <f t="shared" si="59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61">
        <v>0</v>
      </c>
      <c r="X53" s="21"/>
      <c r="Y53" s="21"/>
      <c r="Z53" s="21"/>
      <c r="AA53" s="21"/>
      <c r="AB53" s="21"/>
      <c r="AC53" s="21"/>
      <c r="AD53" s="21"/>
      <c r="AE53" s="21"/>
      <c r="AF53" s="261">
        <f t="shared" si="20"/>
        <v>475000000</v>
      </c>
      <c r="AG53" s="21">
        <f t="shared" si="21"/>
        <v>475000000</v>
      </c>
      <c r="AI53" s="176">
        <f t="shared" si="22"/>
        <v>-2.0560245933187962</v>
      </c>
      <c r="AJ53" s="176">
        <f t="shared" si="4"/>
        <v>0.38879508133624074</v>
      </c>
      <c r="AK53" s="176">
        <f t="shared" si="5"/>
        <v>-0.85318841472469209</v>
      </c>
      <c r="AL53" s="176">
        <f t="shared" si="6"/>
        <v>1</v>
      </c>
      <c r="AM53" s="176">
        <f t="shared" si="7"/>
        <v>1</v>
      </c>
      <c r="AN53" s="176">
        <f t="shared" si="8"/>
        <v>1</v>
      </c>
      <c r="AO53" s="176">
        <f t="shared" si="9"/>
        <v>1</v>
      </c>
      <c r="AP53" s="176">
        <f t="shared" si="10"/>
        <v>1</v>
      </c>
      <c r="AQ53" s="176">
        <f t="shared" si="11"/>
        <v>1</v>
      </c>
      <c r="AR53" s="176">
        <f t="shared" si="12"/>
        <v>1</v>
      </c>
      <c r="AS53" s="176">
        <f t="shared" si="13"/>
        <v>1</v>
      </c>
      <c r="AT53" s="176">
        <f t="shared" si="14"/>
        <v>1</v>
      </c>
      <c r="AU53" s="176">
        <f t="shared" si="15"/>
        <v>-0.34761354467257449</v>
      </c>
      <c r="AV53" s="176">
        <f t="shared" si="16"/>
        <v>0.56127276264706527</v>
      </c>
    </row>
    <row r="54" spans="1:48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33"/>
        <v>13250000</v>
      </c>
      <c r="P54" s="21">
        <f t="shared" si="59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61">
        <v>0</v>
      </c>
      <c r="X54" s="21"/>
      <c r="Y54" s="21"/>
      <c r="Z54" s="21"/>
      <c r="AA54" s="21"/>
      <c r="AB54" s="21"/>
      <c r="AC54" s="21"/>
      <c r="AD54" s="21"/>
      <c r="AE54" s="21"/>
      <c r="AF54" s="261">
        <f t="shared" si="20"/>
        <v>0</v>
      </c>
      <c r="AG54" s="21">
        <f t="shared" si="21"/>
        <v>0</v>
      </c>
      <c r="AI54" s="176">
        <f t="shared" si="22"/>
        <v>1</v>
      </c>
      <c r="AJ54" s="176">
        <f t="shared" si="4"/>
        <v>1</v>
      </c>
      <c r="AK54" s="176">
        <f t="shared" si="5"/>
        <v>1</v>
      </c>
      <c r="AL54" s="176">
        <f t="shared" si="6"/>
        <v>1</v>
      </c>
      <c r="AM54" s="176">
        <f t="shared" si="7"/>
        <v>1</v>
      </c>
      <c r="AN54" s="176">
        <f t="shared" si="8"/>
        <v>1</v>
      </c>
      <c r="AO54" s="176">
        <f t="shared" si="9"/>
        <v>1</v>
      </c>
      <c r="AP54" s="176">
        <f t="shared" si="10"/>
        <v>1</v>
      </c>
      <c r="AQ54" s="176">
        <f t="shared" si="11"/>
        <v>1</v>
      </c>
      <c r="AR54" s="176">
        <f t="shared" si="12"/>
        <v>1</v>
      </c>
      <c r="AS54" s="176">
        <f t="shared" si="13"/>
        <v>1</v>
      </c>
      <c r="AT54" s="176">
        <f t="shared" si="14"/>
        <v>1</v>
      </c>
      <c r="AU54" s="176">
        <f t="shared" si="15"/>
        <v>1</v>
      </c>
      <c r="AV54" s="176">
        <f t="shared" si="16"/>
        <v>1</v>
      </c>
    </row>
    <row r="55" spans="1:48" x14ac:dyDescent="0.25">
      <c r="A55" s="4" t="s">
        <v>92</v>
      </c>
      <c r="B55" s="5" t="s">
        <v>40</v>
      </c>
      <c r="C55" s="6">
        <f t="shared" ref="C55:N55" si="61">+C56+C58+C60+C62+C64+C66</f>
        <v>558877574.88750005</v>
      </c>
      <c r="D55" s="6">
        <f t="shared" si="61"/>
        <v>624777155.88750005</v>
      </c>
      <c r="E55" s="6">
        <f t="shared" si="61"/>
        <v>599271066.88750005</v>
      </c>
      <c r="F55" s="6">
        <f t="shared" si="61"/>
        <v>594271066.88750005</v>
      </c>
      <c r="G55" s="6">
        <f t="shared" si="61"/>
        <v>612271066.88750005</v>
      </c>
      <c r="H55" s="6">
        <f t="shared" si="61"/>
        <v>625271066.88750005</v>
      </c>
      <c r="I55" s="6">
        <f t="shared" si="61"/>
        <v>584627574.88750005</v>
      </c>
      <c r="J55" s="6">
        <f t="shared" si="61"/>
        <v>609111913.88750005</v>
      </c>
      <c r="K55" s="6">
        <f t="shared" si="61"/>
        <v>610271066.88750005</v>
      </c>
      <c r="L55" s="6">
        <f t="shared" si="61"/>
        <v>594271066.88750005</v>
      </c>
      <c r="M55" s="6">
        <f t="shared" si="61"/>
        <v>594271066.88750005</v>
      </c>
      <c r="N55" s="6">
        <f t="shared" si="61"/>
        <v>558577574.88750005</v>
      </c>
      <c r="O55" s="6">
        <f t="shared" si="33"/>
        <v>2377196864.5500002</v>
      </c>
      <c r="P55" s="6">
        <f t="shared" si="59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f t="shared" ref="W55" si="62">+W56+W58+W60+W62+W64+W66</f>
        <v>140000000</v>
      </c>
      <c r="X55" s="6"/>
      <c r="Y55" s="6"/>
      <c r="Z55" s="6"/>
      <c r="AA55" s="6"/>
      <c r="AB55" s="6"/>
      <c r="AC55" s="6"/>
      <c r="AD55" s="6"/>
      <c r="AE55" s="6"/>
      <c r="AF55" s="6">
        <f t="shared" si="20"/>
        <v>3725740332</v>
      </c>
      <c r="AG55" s="6">
        <f t="shared" si="21"/>
        <v>3725740332</v>
      </c>
      <c r="AI55" s="174">
        <f t="shared" si="22"/>
        <v>-3.1770401907249846</v>
      </c>
      <c r="AJ55" s="174">
        <f t="shared" si="4"/>
        <v>0.51982879467824328</v>
      </c>
      <c r="AK55" s="174">
        <f t="shared" si="5"/>
        <v>-0.58740558749281824</v>
      </c>
      <c r="AL55" s="174">
        <f t="shared" si="6"/>
        <v>0.76441727050039432</v>
      </c>
      <c r="AM55" s="174">
        <f t="shared" si="7"/>
        <v>1</v>
      </c>
      <c r="AN55" s="174">
        <f t="shared" si="8"/>
        <v>1</v>
      </c>
      <c r="AO55" s="174">
        <f t="shared" si="9"/>
        <v>1</v>
      </c>
      <c r="AP55" s="174">
        <f t="shared" si="10"/>
        <v>1</v>
      </c>
      <c r="AQ55" s="174">
        <f t="shared" si="11"/>
        <v>1</v>
      </c>
      <c r="AR55" s="174">
        <f t="shared" si="12"/>
        <v>1</v>
      </c>
      <c r="AS55" s="174">
        <f t="shared" si="13"/>
        <v>1</v>
      </c>
      <c r="AT55" s="174">
        <f t="shared" si="14"/>
        <v>1</v>
      </c>
      <c r="AU55" s="174">
        <f t="shared" si="15"/>
        <v>-0.56728304145112407</v>
      </c>
      <c r="AV55" s="174">
        <f t="shared" si="16"/>
        <v>0.48007140579310681</v>
      </c>
    </row>
    <row r="56" spans="1:48" x14ac:dyDescent="0.25">
      <c r="A56" s="7" t="s">
        <v>93</v>
      </c>
      <c r="B56" s="8" t="s">
        <v>42</v>
      </c>
      <c r="C56" s="9">
        <f t="shared" ref="C56:N56" si="63">+C57</f>
        <v>137841510.3666667</v>
      </c>
      <c r="D56" s="9">
        <f t="shared" si="63"/>
        <v>137841510.3666667</v>
      </c>
      <c r="E56" s="9">
        <f t="shared" si="63"/>
        <v>149630603.3666667</v>
      </c>
      <c r="F56" s="9">
        <f t="shared" si="63"/>
        <v>149630603.3666667</v>
      </c>
      <c r="G56" s="9">
        <f t="shared" si="63"/>
        <v>149630603.3666667</v>
      </c>
      <c r="H56" s="9">
        <f t="shared" si="63"/>
        <v>149630603.3666667</v>
      </c>
      <c r="I56" s="9">
        <f t="shared" si="63"/>
        <v>137841510.3666667</v>
      </c>
      <c r="J56" s="9">
        <f t="shared" si="63"/>
        <v>149630603.3666667</v>
      </c>
      <c r="K56" s="9">
        <f t="shared" si="63"/>
        <v>149630603.3666667</v>
      </c>
      <c r="L56" s="9">
        <f t="shared" si="63"/>
        <v>149630603.3666667</v>
      </c>
      <c r="M56" s="9">
        <f t="shared" si="63"/>
        <v>149630603.3666667</v>
      </c>
      <c r="N56" s="9">
        <f t="shared" si="63"/>
        <v>137841510.3666667</v>
      </c>
      <c r="O56" s="9">
        <f t="shared" si="33"/>
        <v>574944227.46666682</v>
      </c>
      <c r="P56" s="9">
        <f t="shared" si="59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f t="shared" ref="W56" si="64">+W57</f>
        <v>30000000</v>
      </c>
      <c r="X56" s="9"/>
      <c r="Y56" s="9"/>
      <c r="Z56" s="9"/>
      <c r="AA56" s="9"/>
      <c r="AB56" s="9"/>
      <c r="AC56" s="9"/>
      <c r="AD56" s="9"/>
      <c r="AE56" s="9"/>
      <c r="AF56" s="9">
        <f t="shared" si="20"/>
        <v>1022686240</v>
      </c>
      <c r="AG56" s="9">
        <f t="shared" si="21"/>
        <v>1022686240</v>
      </c>
      <c r="AI56" s="175">
        <f t="shared" si="22"/>
        <v>-3.6890310348507387</v>
      </c>
      <c r="AJ56" s="175">
        <f t="shared" si="4"/>
        <v>0.45589684993660118</v>
      </c>
      <c r="AK56" s="175">
        <f t="shared" si="5"/>
        <v>-0.81341994147466801</v>
      </c>
      <c r="AL56" s="175">
        <f t="shared" si="6"/>
        <v>0.79950625523786989</v>
      </c>
      <c r="AM56" s="175">
        <f t="shared" si="7"/>
        <v>1</v>
      </c>
      <c r="AN56" s="175">
        <f t="shared" si="8"/>
        <v>1</v>
      </c>
      <c r="AO56" s="175">
        <f t="shared" si="9"/>
        <v>1</v>
      </c>
      <c r="AP56" s="175">
        <f t="shared" si="10"/>
        <v>1</v>
      </c>
      <c r="AQ56" s="175">
        <f t="shared" si="11"/>
        <v>1</v>
      </c>
      <c r="AR56" s="175">
        <f t="shared" si="12"/>
        <v>1</v>
      </c>
      <c r="AS56" s="175">
        <f t="shared" si="13"/>
        <v>1</v>
      </c>
      <c r="AT56" s="175">
        <f t="shared" si="14"/>
        <v>1</v>
      </c>
      <c r="AU56" s="175">
        <f t="shared" si="15"/>
        <v>-0.77875729704459318</v>
      </c>
      <c r="AV56" s="175">
        <f t="shared" si="16"/>
        <v>0.41507670852224982</v>
      </c>
    </row>
    <row r="57" spans="1:48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33"/>
        <v>574944227.46666682</v>
      </c>
      <c r="P57" s="21">
        <f t="shared" si="59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61">
        <v>30000000</v>
      </c>
      <c r="X57" s="21"/>
      <c r="Y57" s="21"/>
      <c r="Z57" s="21"/>
      <c r="AA57" s="21"/>
      <c r="AB57" s="21"/>
      <c r="AC57" s="21"/>
      <c r="AD57" s="21"/>
      <c r="AE57" s="21"/>
      <c r="AF57" s="261">
        <f t="shared" si="20"/>
        <v>1022686240</v>
      </c>
      <c r="AG57" s="21">
        <f t="shared" si="21"/>
        <v>1022686240</v>
      </c>
      <c r="AI57" s="176">
        <f t="shared" si="22"/>
        <v>-3.6890310348507387</v>
      </c>
      <c r="AJ57" s="176">
        <f t="shared" si="4"/>
        <v>0.45589684993660118</v>
      </c>
      <c r="AK57" s="176">
        <f t="shared" si="5"/>
        <v>-0.81341994147466801</v>
      </c>
      <c r="AL57" s="176">
        <f t="shared" si="6"/>
        <v>0.79950625523786989</v>
      </c>
      <c r="AM57" s="176">
        <f t="shared" si="7"/>
        <v>1</v>
      </c>
      <c r="AN57" s="176">
        <f t="shared" si="8"/>
        <v>1</v>
      </c>
      <c r="AO57" s="176">
        <f t="shared" si="9"/>
        <v>1</v>
      </c>
      <c r="AP57" s="176">
        <f t="shared" si="10"/>
        <v>1</v>
      </c>
      <c r="AQ57" s="176">
        <f t="shared" si="11"/>
        <v>1</v>
      </c>
      <c r="AR57" s="176">
        <f t="shared" si="12"/>
        <v>1</v>
      </c>
      <c r="AS57" s="176">
        <f t="shared" si="13"/>
        <v>1</v>
      </c>
      <c r="AT57" s="176">
        <f t="shared" si="14"/>
        <v>1</v>
      </c>
      <c r="AU57" s="176">
        <f t="shared" si="15"/>
        <v>-0.77875729704459318</v>
      </c>
      <c r="AV57" s="176">
        <f t="shared" si="16"/>
        <v>0.41507670852224982</v>
      </c>
    </row>
    <row r="58" spans="1:48" x14ac:dyDescent="0.25">
      <c r="A58" s="7" t="s">
        <v>95</v>
      </c>
      <c r="B58" s="8" t="s">
        <v>45</v>
      </c>
      <c r="C58" s="9">
        <f t="shared" ref="C58:N58" si="65">+C59</f>
        <v>87133957.841666654</v>
      </c>
      <c r="D58" s="9">
        <f t="shared" si="65"/>
        <v>87133957.841666654</v>
      </c>
      <c r="E58" s="9">
        <f t="shared" si="65"/>
        <v>98923050.841666654</v>
      </c>
      <c r="F58" s="9">
        <f t="shared" si="65"/>
        <v>98923050.841666654</v>
      </c>
      <c r="G58" s="9">
        <f t="shared" si="65"/>
        <v>98923050.841666654</v>
      </c>
      <c r="H58" s="9">
        <f t="shared" si="65"/>
        <v>98923050.841666654</v>
      </c>
      <c r="I58" s="9">
        <f t="shared" si="65"/>
        <v>87133957.841666654</v>
      </c>
      <c r="J58" s="9">
        <f t="shared" si="65"/>
        <v>98923050.841666654</v>
      </c>
      <c r="K58" s="9">
        <f t="shared" si="65"/>
        <v>98923050.841666654</v>
      </c>
      <c r="L58" s="9">
        <f t="shared" si="65"/>
        <v>98923050.841666654</v>
      </c>
      <c r="M58" s="9">
        <f t="shared" si="65"/>
        <v>98923050.841666654</v>
      </c>
      <c r="N58" s="9">
        <f t="shared" si="65"/>
        <v>87133957.841666654</v>
      </c>
      <c r="O58" s="9">
        <f t="shared" si="33"/>
        <v>372114017.36666662</v>
      </c>
      <c r="P58" s="9">
        <f t="shared" si="59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f t="shared" ref="W58" si="66">+W59</f>
        <v>30000000</v>
      </c>
      <c r="X58" s="9"/>
      <c r="Y58" s="9"/>
      <c r="Z58" s="9"/>
      <c r="AA58" s="9"/>
      <c r="AB58" s="9"/>
      <c r="AC58" s="9"/>
      <c r="AD58" s="9"/>
      <c r="AE58" s="9"/>
      <c r="AF58" s="9">
        <f t="shared" si="20"/>
        <v>1022686240</v>
      </c>
      <c r="AG58" s="9">
        <f t="shared" si="21"/>
        <v>1022686240</v>
      </c>
      <c r="AI58" s="175">
        <f t="shared" si="22"/>
        <v>-6.4178097266565874</v>
      </c>
      <c r="AJ58" s="175">
        <f t="shared" si="4"/>
        <v>0.13925636046184864</v>
      </c>
      <c r="AK58" s="175">
        <f t="shared" si="5"/>
        <v>-1.7429716096635948</v>
      </c>
      <c r="AL58" s="175">
        <f t="shared" si="6"/>
        <v>0.69673397914084634</v>
      </c>
      <c r="AM58" s="175">
        <f t="shared" si="7"/>
        <v>1</v>
      </c>
      <c r="AN58" s="175">
        <f t="shared" si="8"/>
        <v>1</v>
      </c>
      <c r="AO58" s="175">
        <f t="shared" si="9"/>
        <v>1</v>
      </c>
      <c r="AP58" s="175">
        <f t="shared" si="10"/>
        <v>1</v>
      </c>
      <c r="AQ58" s="175">
        <f t="shared" si="11"/>
        <v>1</v>
      </c>
      <c r="AR58" s="175">
        <f t="shared" si="12"/>
        <v>1</v>
      </c>
      <c r="AS58" s="175">
        <f t="shared" si="13"/>
        <v>1</v>
      </c>
      <c r="AT58" s="175">
        <f t="shared" si="14"/>
        <v>1</v>
      </c>
      <c r="AU58" s="175">
        <f t="shared" si="15"/>
        <v>-1.7483142055148249</v>
      </c>
      <c r="AV58" s="175">
        <f t="shared" si="16"/>
        <v>0.10284403608396654</v>
      </c>
    </row>
    <row r="59" spans="1:48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33"/>
        <v>372114017.36666662</v>
      </c>
      <c r="P59" s="21">
        <f t="shared" si="59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61">
        <v>30000000</v>
      </c>
      <c r="X59" s="21"/>
      <c r="Y59" s="21"/>
      <c r="Z59" s="21"/>
      <c r="AA59" s="21"/>
      <c r="AB59" s="21"/>
      <c r="AC59" s="21"/>
      <c r="AD59" s="21"/>
      <c r="AE59" s="21"/>
      <c r="AF59" s="261">
        <f t="shared" si="20"/>
        <v>1022686240</v>
      </c>
      <c r="AG59" s="21">
        <f t="shared" si="21"/>
        <v>1022686240</v>
      </c>
      <c r="AI59" s="176">
        <f t="shared" si="22"/>
        <v>-6.4178097266565874</v>
      </c>
      <c r="AJ59" s="176">
        <f t="shared" si="4"/>
        <v>0.13925636046184864</v>
      </c>
      <c r="AK59" s="176">
        <f t="shared" si="5"/>
        <v>-1.7429716096635948</v>
      </c>
      <c r="AL59" s="176">
        <f t="shared" si="6"/>
        <v>0.69673397914084634</v>
      </c>
      <c r="AM59" s="176">
        <f t="shared" si="7"/>
        <v>1</v>
      </c>
      <c r="AN59" s="176">
        <f t="shared" si="8"/>
        <v>1</v>
      </c>
      <c r="AO59" s="176">
        <f t="shared" si="9"/>
        <v>1</v>
      </c>
      <c r="AP59" s="176">
        <f t="shared" si="10"/>
        <v>1</v>
      </c>
      <c r="AQ59" s="176">
        <f t="shared" si="11"/>
        <v>1</v>
      </c>
      <c r="AR59" s="176">
        <f t="shared" si="12"/>
        <v>1</v>
      </c>
      <c r="AS59" s="176">
        <f t="shared" si="13"/>
        <v>1</v>
      </c>
      <c r="AT59" s="176">
        <f t="shared" si="14"/>
        <v>1</v>
      </c>
      <c r="AU59" s="176">
        <f t="shared" si="15"/>
        <v>-1.7483142055148249</v>
      </c>
      <c r="AV59" s="176">
        <f t="shared" si="16"/>
        <v>0.10284403608396654</v>
      </c>
    </row>
    <row r="60" spans="1:48" x14ac:dyDescent="0.25">
      <c r="A60" s="7" t="s">
        <v>97</v>
      </c>
      <c r="B60" s="8" t="s">
        <v>48</v>
      </c>
      <c r="C60" s="9">
        <f t="shared" ref="C60:N60" si="67">+C61</f>
        <v>137705210.12916669</v>
      </c>
      <c r="D60" s="9">
        <f t="shared" si="67"/>
        <v>137705210.12916669</v>
      </c>
      <c r="E60" s="9">
        <f t="shared" si="67"/>
        <v>148090516.12916669</v>
      </c>
      <c r="F60" s="9">
        <f t="shared" si="67"/>
        <v>148090516.12916669</v>
      </c>
      <c r="G60" s="9">
        <f t="shared" si="67"/>
        <v>148090516.12916669</v>
      </c>
      <c r="H60" s="9">
        <f t="shared" si="67"/>
        <v>148090516.12916669</v>
      </c>
      <c r="I60" s="9">
        <f t="shared" si="67"/>
        <v>137705210.12916669</v>
      </c>
      <c r="J60" s="9">
        <f t="shared" si="67"/>
        <v>148090516.12916669</v>
      </c>
      <c r="K60" s="9">
        <f t="shared" si="67"/>
        <v>148090516.12916669</v>
      </c>
      <c r="L60" s="9">
        <f t="shared" si="67"/>
        <v>148090516.12916669</v>
      </c>
      <c r="M60" s="9">
        <f t="shared" si="67"/>
        <v>148090516.12916669</v>
      </c>
      <c r="N60" s="9">
        <f t="shared" si="67"/>
        <v>137705210.12916669</v>
      </c>
      <c r="O60" s="9">
        <f t="shared" si="33"/>
        <v>571591452.51666677</v>
      </c>
      <c r="P60" s="9">
        <f t="shared" si="59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f t="shared" ref="W60" si="68">+W61</f>
        <v>0</v>
      </c>
      <c r="X60" s="9"/>
      <c r="Y60" s="9"/>
      <c r="Z60" s="9"/>
      <c r="AA60" s="9"/>
      <c r="AB60" s="9"/>
      <c r="AC60" s="9"/>
      <c r="AD60" s="9"/>
      <c r="AE60" s="9"/>
      <c r="AF60" s="9">
        <f t="shared" si="20"/>
        <v>1008600000</v>
      </c>
      <c r="AG60" s="9">
        <f t="shared" si="21"/>
        <v>1008600000</v>
      </c>
      <c r="AI60" s="175">
        <f t="shared" si="22"/>
        <v>-2.630944679079338</v>
      </c>
      <c r="AJ60" s="175">
        <f t="shared" si="4"/>
        <v>-8.9283403723801488E-2</v>
      </c>
      <c r="AK60" s="175">
        <f t="shared" si="5"/>
        <v>-1.4214919994419082</v>
      </c>
      <c r="AL60" s="175">
        <f t="shared" si="6"/>
        <v>1</v>
      </c>
      <c r="AM60" s="175">
        <f t="shared" si="7"/>
        <v>1</v>
      </c>
      <c r="AN60" s="175">
        <f t="shared" si="8"/>
        <v>1</v>
      </c>
      <c r="AO60" s="175">
        <f t="shared" si="9"/>
        <v>1</v>
      </c>
      <c r="AP60" s="175">
        <f t="shared" si="10"/>
        <v>1</v>
      </c>
      <c r="AQ60" s="175">
        <f t="shared" si="11"/>
        <v>1</v>
      </c>
      <c r="AR60" s="175">
        <f t="shared" si="12"/>
        <v>1</v>
      </c>
      <c r="AS60" s="175">
        <f t="shared" si="13"/>
        <v>1</v>
      </c>
      <c r="AT60" s="175">
        <f t="shared" si="14"/>
        <v>1</v>
      </c>
      <c r="AU60" s="175">
        <f t="shared" si="15"/>
        <v>-0.76454703015453285</v>
      </c>
      <c r="AV60" s="175">
        <f t="shared" si="16"/>
        <v>0.41885689066212184</v>
      </c>
    </row>
    <row r="61" spans="1:48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33"/>
        <v>571591452.51666677</v>
      </c>
      <c r="P61" s="21">
        <f t="shared" si="59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61">
        <v>0</v>
      </c>
      <c r="X61" s="21"/>
      <c r="Y61" s="21"/>
      <c r="Z61" s="21"/>
      <c r="AA61" s="21"/>
      <c r="AB61" s="21"/>
      <c r="AC61" s="21"/>
      <c r="AD61" s="21"/>
      <c r="AE61" s="21"/>
      <c r="AF61" s="261">
        <f t="shared" si="20"/>
        <v>1008600000</v>
      </c>
      <c r="AG61" s="21">
        <f t="shared" si="21"/>
        <v>1008600000</v>
      </c>
      <c r="AI61" s="176">
        <f t="shared" si="22"/>
        <v>-2.630944679079338</v>
      </c>
      <c r="AJ61" s="176">
        <f t="shared" si="4"/>
        <v>-8.9283403723801488E-2</v>
      </c>
      <c r="AK61" s="176">
        <f t="shared" si="5"/>
        <v>-1.4214919994419082</v>
      </c>
      <c r="AL61" s="176">
        <f t="shared" si="6"/>
        <v>1</v>
      </c>
      <c r="AM61" s="176">
        <f t="shared" si="7"/>
        <v>1</v>
      </c>
      <c r="AN61" s="176">
        <f t="shared" si="8"/>
        <v>1</v>
      </c>
      <c r="AO61" s="176">
        <f t="shared" si="9"/>
        <v>1</v>
      </c>
      <c r="AP61" s="176">
        <f t="shared" si="10"/>
        <v>1</v>
      </c>
      <c r="AQ61" s="176">
        <f t="shared" si="11"/>
        <v>1</v>
      </c>
      <c r="AR61" s="176">
        <f t="shared" si="12"/>
        <v>1</v>
      </c>
      <c r="AS61" s="176">
        <f t="shared" si="13"/>
        <v>1</v>
      </c>
      <c r="AT61" s="176">
        <f t="shared" si="14"/>
        <v>1</v>
      </c>
      <c r="AU61" s="176">
        <f t="shared" si="15"/>
        <v>-0.76454703015453285</v>
      </c>
      <c r="AV61" s="176">
        <f t="shared" si="16"/>
        <v>0.41885689066212184</v>
      </c>
    </row>
    <row r="62" spans="1:48" x14ac:dyDescent="0.25">
      <c r="A62" s="7" t="s">
        <v>101</v>
      </c>
      <c r="B62" s="8" t="s">
        <v>54</v>
      </c>
      <c r="C62" s="9">
        <f t="shared" ref="C62:N62" si="69">+C63</f>
        <v>62327974.387499996</v>
      </c>
      <c r="D62" s="9">
        <f t="shared" si="69"/>
        <v>128227555.38749999</v>
      </c>
      <c r="E62" s="9">
        <f t="shared" si="69"/>
        <v>68757974.387499988</v>
      </c>
      <c r="F62" s="9">
        <f t="shared" si="69"/>
        <v>63757974.387499996</v>
      </c>
      <c r="G62" s="9">
        <f t="shared" si="69"/>
        <v>81757974.387499988</v>
      </c>
      <c r="H62" s="9">
        <f t="shared" si="69"/>
        <v>94757974.387499988</v>
      </c>
      <c r="I62" s="9">
        <f t="shared" si="69"/>
        <v>88077974.387499988</v>
      </c>
      <c r="J62" s="9">
        <f t="shared" si="69"/>
        <v>78598821.387499988</v>
      </c>
      <c r="K62" s="9">
        <f t="shared" si="69"/>
        <v>79757974.387499988</v>
      </c>
      <c r="L62" s="9">
        <f t="shared" si="69"/>
        <v>63757974.387499996</v>
      </c>
      <c r="M62" s="9">
        <f t="shared" si="69"/>
        <v>63757974.387499996</v>
      </c>
      <c r="N62" s="9">
        <f t="shared" si="69"/>
        <v>62027974.387499996</v>
      </c>
      <c r="O62" s="9">
        <f t="shared" si="33"/>
        <v>323071478.54999995</v>
      </c>
      <c r="P62" s="9">
        <f t="shared" si="59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f t="shared" ref="W62" si="70">+W63</f>
        <v>40000000</v>
      </c>
      <c r="X62" s="9"/>
      <c r="Y62" s="9"/>
      <c r="Z62" s="9"/>
      <c r="AA62" s="9"/>
      <c r="AB62" s="9"/>
      <c r="AC62" s="9"/>
      <c r="AD62" s="9"/>
      <c r="AE62" s="9"/>
      <c r="AF62" s="9">
        <f t="shared" si="20"/>
        <v>315000000</v>
      </c>
      <c r="AG62" s="9">
        <f t="shared" si="21"/>
        <v>315000000</v>
      </c>
      <c r="AI62" s="175">
        <f t="shared" si="22"/>
        <v>-3.011040025875412</v>
      </c>
      <c r="AJ62" s="175">
        <f t="shared" si="4"/>
        <v>1</v>
      </c>
      <c r="AK62" s="175">
        <f t="shared" si="5"/>
        <v>0.63640581005037677</v>
      </c>
      <c r="AL62" s="175">
        <f t="shared" si="6"/>
        <v>0.37262749665017342</v>
      </c>
      <c r="AM62" s="175">
        <f t="shared" si="7"/>
        <v>1</v>
      </c>
      <c r="AN62" s="175">
        <f t="shared" si="8"/>
        <v>1</v>
      </c>
      <c r="AO62" s="175">
        <f t="shared" si="9"/>
        <v>1</v>
      </c>
      <c r="AP62" s="175">
        <f t="shared" si="10"/>
        <v>1</v>
      </c>
      <c r="AQ62" s="175">
        <f t="shared" si="11"/>
        <v>1</v>
      </c>
      <c r="AR62" s="175">
        <f t="shared" si="12"/>
        <v>1</v>
      </c>
      <c r="AS62" s="175">
        <f t="shared" si="13"/>
        <v>1</v>
      </c>
      <c r="AT62" s="175">
        <f t="shared" si="14"/>
        <v>1</v>
      </c>
      <c r="AU62" s="175">
        <f t="shared" si="15"/>
        <v>2.4983568918637226E-2</v>
      </c>
      <c r="AV62" s="175">
        <f t="shared" si="16"/>
        <v>0.66330546495083798</v>
      </c>
    </row>
    <row r="63" spans="1:48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33"/>
        <v>323071478.54999995</v>
      </c>
      <c r="P63" s="21">
        <f t="shared" si="59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61">
        <v>40000000</v>
      </c>
      <c r="X63" s="21"/>
      <c r="Y63" s="21"/>
      <c r="Z63" s="21"/>
      <c r="AA63" s="21"/>
      <c r="AB63" s="21"/>
      <c r="AC63" s="21"/>
      <c r="AD63" s="21"/>
      <c r="AE63" s="21"/>
      <c r="AF63" s="261">
        <f t="shared" si="20"/>
        <v>315000000</v>
      </c>
      <c r="AG63" s="21">
        <f t="shared" si="21"/>
        <v>315000000</v>
      </c>
      <c r="AI63" s="176">
        <f t="shared" si="22"/>
        <v>-3.011040025875412</v>
      </c>
      <c r="AJ63" s="176">
        <f t="shared" si="4"/>
        <v>1</v>
      </c>
      <c r="AK63" s="176">
        <f t="shared" si="5"/>
        <v>0.63640581005037677</v>
      </c>
      <c r="AL63" s="176">
        <f t="shared" si="6"/>
        <v>0.37262749665017342</v>
      </c>
      <c r="AM63" s="176">
        <f t="shared" si="7"/>
        <v>1</v>
      </c>
      <c r="AN63" s="176">
        <f t="shared" si="8"/>
        <v>1</v>
      </c>
      <c r="AO63" s="176">
        <f t="shared" si="9"/>
        <v>1</v>
      </c>
      <c r="AP63" s="176">
        <f t="shared" si="10"/>
        <v>1</v>
      </c>
      <c r="AQ63" s="176">
        <f t="shared" si="11"/>
        <v>1</v>
      </c>
      <c r="AR63" s="176">
        <f t="shared" si="12"/>
        <v>1</v>
      </c>
      <c r="AS63" s="176">
        <f t="shared" si="13"/>
        <v>1</v>
      </c>
      <c r="AT63" s="176">
        <f t="shared" si="14"/>
        <v>1</v>
      </c>
      <c r="AU63" s="176">
        <f t="shared" si="15"/>
        <v>2.4983568918637226E-2</v>
      </c>
      <c r="AV63" s="176">
        <f t="shared" si="16"/>
        <v>0.66330546495083798</v>
      </c>
    </row>
    <row r="64" spans="1:48" x14ac:dyDescent="0.25">
      <c r="A64" s="7" t="s">
        <v>99</v>
      </c>
      <c r="B64" s="8" t="s">
        <v>51</v>
      </c>
      <c r="C64" s="9">
        <f t="shared" ref="C64:N64" si="71">+C65</f>
        <v>77963843.387500003</v>
      </c>
      <c r="D64" s="9">
        <f t="shared" si="71"/>
        <v>77963843.387500003</v>
      </c>
      <c r="E64" s="9">
        <f t="shared" si="71"/>
        <v>77963843.387500003</v>
      </c>
      <c r="F64" s="9">
        <f t="shared" si="71"/>
        <v>77963843.387500003</v>
      </c>
      <c r="G64" s="9">
        <f t="shared" si="71"/>
        <v>77963843.387500003</v>
      </c>
      <c r="H64" s="9">
        <f t="shared" si="71"/>
        <v>77963843.387500003</v>
      </c>
      <c r="I64" s="9">
        <f t="shared" si="71"/>
        <v>77963843.387500003</v>
      </c>
      <c r="J64" s="9">
        <f t="shared" si="71"/>
        <v>77963843.387500003</v>
      </c>
      <c r="K64" s="9">
        <f t="shared" si="71"/>
        <v>77963843.387500003</v>
      </c>
      <c r="L64" s="9">
        <f t="shared" si="71"/>
        <v>77963843.387500003</v>
      </c>
      <c r="M64" s="9">
        <f t="shared" si="71"/>
        <v>77963843.387500003</v>
      </c>
      <c r="N64" s="9">
        <f t="shared" si="71"/>
        <v>77963843.387500003</v>
      </c>
      <c r="O64" s="9">
        <f t="shared" si="33"/>
        <v>311855373.55000001</v>
      </c>
      <c r="P64" s="9">
        <f t="shared" si="59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f t="shared" ref="W64" si="72">+W65</f>
        <v>0</v>
      </c>
      <c r="X64" s="9"/>
      <c r="Y64" s="9"/>
      <c r="Z64" s="9"/>
      <c r="AA64" s="9"/>
      <c r="AB64" s="9"/>
      <c r="AC64" s="9"/>
      <c r="AD64" s="9"/>
      <c r="AE64" s="9"/>
      <c r="AF64" s="9">
        <f t="shared" si="20"/>
        <v>41767852</v>
      </c>
      <c r="AG64" s="9">
        <f t="shared" si="21"/>
        <v>41767852</v>
      </c>
      <c r="AI64" s="175">
        <f t="shared" si="22"/>
        <v>0.46426638060410619</v>
      </c>
      <c r="AJ64" s="175">
        <f t="shared" si="4"/>
        <v>1</v>
      </c>
      <c r="AK64" s="175">
        <f t="shared" si="5"/>
        <v>1</v>
      </c>
      <c r="AL64" s="175">
        <f t="shared" si="6"/>
        <v>1</v>
      </c>
      <c r="AM64" s="175">
        <f t="shared" si="7"/>
        <v>1</v>
      </c>
      <c r="AN64" s="175">
        <f t="shared" si="8"/>
        <v>1</v>
      </c>
      <c r="AO64" s="175">
        <f t="shared" si="9"/>
        <v>1</v>
      </c>
      <c r="AP64" s="175">
        <f t="shared" si="10"/>
        <v>1</v>
      </c>
      <c r="AQ64" s="175">
        <f t="shared" si="11"/>
        <v>1</v>
      </c>
      <c r="AR64" s="175">
        <f t="shared" si="12"/>
        <v>1</v>
      </c>
      <c r="AS64" s="175">
        <f t="shared" si="13"/>
        <v>1</v>
      </c>
      <c r="AT64" s="175">
        <f t="shared" si="14"/>
        <v>1</v>
      </c>
      <c r="AU64" s="175">
        <f t="shared" si="15"/>
        <v>0.86606659515102657</v>
      </c>
      <c r="AV64" s="175">
        <f t="shared" si="16"/>
        <v>0.95535553171700882</v>
      </c>
    </row>
    <row r="65" spans="1:48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33"/>
        <v>311855373.55000001</v>
      </c>
      <c r="P65" s="21">
        <f t="shared" si="59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61">
        <v>0</v>
      </c>
      <c r="X65" s="21"/>
      <c r="Y65" s="21"/>
      <c r="Z65" s="21"/>
      <c r="AA65" s="21"/>
      <c r="AB65" s="21"/>
      <c r="AC65" s="21"/>
      <c r="AD65" s="21"/>
      <c r="AE65" s="21"/>
      <c r="AF65" s="261">
        <f t="shared" si="20"/>
        <v>41767852</v>
      </c>
      <c r="AG65" s="21">
        <f t="shared" si="21"/>
        <v>41767852</v>
      </c>
      <c r="AI65" s="176">
        <f t="shared" si="22"/>
        <v>0.46426638060410619</v>
      </c>
      <c r="AJ65" s="176">
        <f t="shared" si="4"/>
        <v>1</v>
      </c>
      <c r="AK65" s="176">
        <f t="shared" si="5"/>
        <v>1</v>
      </c>
      <c r="AL65" s="176">
        <f t="shared" si="6"/>
        <v>1</v>
      </c>
      <c r="AM65" s="176">
        <f t="shared" si="7"/>
        <v>1</v>
      </c>
      <c r="AN65" s="176">
        <f t="shared" si="8"/>
        <v>1</v>
      </c>
      <c r="AO65" s="176">
        <f t="shared" si="9"/>
        <v>1</v>
      </c>
      <c r="AP65" s="176">
        <f t="shared" si="10"/>
        <v>1</v>
      </c>
      <c r="AQ65" s="176">
        <f t="shared" si="11"/>
        <v>1</v>
      </c>
      <c r="AR65" s="176">
        <f t="shared" si="12"/>
        <v>1</v>
      </c>
      <c r="AS65" s="176">
        <f t="shared" si="13"/>
        <v>1</v>
      </c>
      <c r="AT65" s="176">
        <f t="shared" si="14"/>
        <v>1</v>
      </c>
      <c r="AU65" s="176">
        <f t="shared" si="15"/>
        <v>0.86606659515102657</v>
      </c>
      <c r="AV65" s="176">
        <f t="shared" si="16"/>
        <v>0.95535553171700882</v>
      </c>
    </row>
    <row r="66" spans="1:48" x14ac:dyDescent="0.25">
      <c r="A66" s="7" t="s">
        <v>103</v>
      </c>
      <c r="B66" s="8" t="s">
        <v>57</v>
      </c>
      <c r="C66" s="9">
        <f t="shared" ref="C66:N66" si="73">+C67</f>
        <v>55905078.774999999</v>
      </c>
      <c r="D66" s="9">
        <f t="shared" si="73"/>
        <v>55905078.774999999</v>
      </c>
      <c r="E66" s="9">
        <f t="shared" si="73"/>
        <v>55905078.774999999</v>
      </c>
      <c r="F66" s="9">
        <f t="shared" si="73"/>
        <v>55905078.774999999</v>
      </c>
      <c r="G66" s="9">
        <f t="shared" si="73"/>
        <v>55905078.774999999</v>
      </c>
      <c r="H66" s="9">
        <f t="shared" si="73"/>
        <v>55905078.774999999</v>
      </c>
      <c r="I66" s="9">
        <f t="shared" si="73"/>
        <v>55905078.774999999</v>
      </c>
      <c r="J66" s="9">
        <f t="shared" si="73"/>
        <v>55905078.774999999</v>
      </c>
      <c r="K66" s="9">
        <f t="shared" si="73"/>
        <v>55905078.774999999</v>
      </c>
      <c r="L66" s="9">
        <f t="shared" si="73"/>
        <v>55905078.774999999</v>
      </c>
      <c r="M66" s="9">
        <f t="shared" si="73"/>
        <v>55905078.774999999</v>
      </c>
      <c r="N66" s="9">
        <f t="shared" si="73"/>
        <v>55905078.774999999</v>
      </c>
      <c r="O66" s="9">
        <f t="shared" si="33"/>
        <v>223620315.09999999</v>
      </c>
      <c r="P66" s="9">
        <f t="shared" si="59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f t="shared" ref="W66" si="74">+W67</f>
        <v>40000000</v>
      </c>
      <c r="X66" s="9"/>
      <c r="Y66" s="9"/>
      <c r="Z66" s="9"/>
      <c r="AA66" s="9"/>
      <c r="AB66" s="9"/>
      <c r="AC66" s="9"/>
      <c r="AD66" s="9"/>
      <c r="AE66" s="9"/>
      <c r="AF66" s="9">
        <f t="shared" si="20"/>
        <v>315000000</v>
      </c>
      <c r="AG66" s="9">
        <f t="shared" si="21"/>
        <v>315000000</v>
      </c>
      <c r="AI66" s="175">
        <f t="shared" si="22"/>
        <v>-3.4718656243410329</v>
      </c>
      <c r="AJ66" s="175">
        <f t="shared" si="4"/>
        <v>1</v>
      </c>
      <c r="AK66" s="175">
        <f t="shared" si="5"/>
        <v>0.55281343756589674</v>
      </c>
      <c r="AL66" s="175">
        <f t="shared" si="6"/>
        <v>0.28450150010543473</v>
      </c>
      <c r="AM66" s="175">
        <f t="shared" si="7"/>
        <v>1</v>
      </c>
      <c r="AN66" s="175">
        <f t="shared" si="8"/>
        <v>1</v>
      </c>
      <c r="AO66" s="175">
        <f t="shared" si="9"/>
        <v>1</v>
      </c>
      <c r="AP66" s="175">
        <f t="shared" si="10"/>
        <v>1</v>
      </c>
      <c r="AQ66" s="175">
        <f t="shared" si="11"/>
        <v>1</v>
      </c>
      <c r="AR66" s="175">
        <f t="shared" si="12"/>
        <v>1</v>
      </c>
      <c r="AS66" s="175">
        <f t="shared" si="13"/>
        <v>1</v>
      </c>
      <c r="AT66" s="175">
        <f t="shared" si="14"/>
        <v>1</v>
      </c>
      <c r="AU66" s="175">
        <f t="shared" si="15"/>
        <v>-0.40863767166742537</v>
      </c>
      <c r="AV66" s="175">
        <f t="shared" si="16"/>
        <v>0.53045410944419147</v>
      </c>
    </row>
    <row r="67" spans="1:48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33"/>
        <v>223620315.09999999</v>
      </c>
      <c r="P67" s="21">
        <f t="shared" si="59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61">
        <v>40000000</v>
      </c>
      <c r="X67" s="21"/>
      <c r="Y67" s="21"/>
      <c r="Z67" s="21"/>
      <c r="AA67" s="21"/>
      <c r="AB67" s="21"/>
      <c r="AC67" s="21"/>
      <c r="AD67" s="21"/>
      <c r="AE67" s="21"/>
      <c r="AF67" s="261">
        <f t="shared" si="20"/>
        <v>315000000</v>
      </c>
      <c r="AG67" s="21">
        <f t="shared" si="21"/>
        <v>315000000</v>
      </c>
      <c r="AI67" s="176">
        <f t="shared" si="22"/>
        <v>-3.4718656243410329</v>
      </c>
      <c r="AJ67" s="176">
        <f t="shared" si="4"/>
        <v>1</v>
      </c>
      <c r="AK67" s="176">
        <f t="shared" si="5"/>
        <v>0.55281343756589674</v>
      </c>
      <c r="AL67" s="176">
        <f t="shared" si="6"/>
        <v>0.28450150010543473</v>
      </c>
      <c r="AM67" s="176">
        <f t="shared" si="7"/>
        <v>1</v>
      </c>
      <c r="AN67" s="176">
        <f t="shared" si="8"/>
        <v>1</v>
      </c>
      <c r="AO67" s="176">
        <f t="shared" si="9"/>
        <v>1</v>
      </c>
      <c r="AP67" s="176">
        <f t="shared" si="10"/>
        <v>1</v>
      </c>
      <c r="AQ67" s="176">
        <f t="shared" si="11"/>
        <v>1</v>
      </c>
      <c r="AR67" s="176">
        <f t="shared" si="12"/>
        <v>1</v>
      </c>
      <c r="AS67" s="176">
        <f t="shared" si="13"/>
        <v>1</v>
      </c>
      <c r="AT67" s="176">
        <f t="shared" si="14"/>
        <v>1</v>
      </c>
      <c r="AU67" s="176">
        <f t="shared" si="15"/>
        <v>-0.40863767166742537</v>
      </c>
      <c r="AV67" s="176">
        <f t="shared" si="16"/>
        <v>0.53045410944419147</v>
      </c>
    </row>
    <row r="68" spans="1:48" x14ac:dyDescent="0.25">
      <c r="A68" s="4" t="s">
        <v>105</v>
      </c>
      <c r="B68" s="5" t="s">
        <v>60</v>
      </c>
      <c r="C68" s="6">
        <f t="shared" ref="C68:N68" si="75">+C69</f>
        <v>133095574.23749998</v>
      </c>
      <c r="D68" s="6">
        <f t="shared" si="75"/>
        <v>133095574.23749998</v>
      </c>
      <c r="E68" s="6">
        <f t="shared" si="75"/>
        <v>133095574.23749998</v>
      </c>
      <c r="F68" s="6">
        <f t="shared" si="75"/>
        <v>133095574.23749998</v>
      </c>
      <c r="G68" s="6">
        <f t="shared" si="75"/>
        <v>133095574.23749998</v>
      </c>
      <c r="H68" s="6">
        <f t="shared" si="75"/>
        <v>133095574.23749998</v>
      </c>
      <c r="I68" s="6">
        <f t="shared" si="75"/>
        <v>133095574.23749998</v>
      </c>
      <c r="J68" s="6">
        <f t="shared" si="75"/>
        <v>133095574.23749998</v>
      </c>
      <c r="K68" s="6">
        <f t="shared" si="75"/>
        <v>133095574.23749998</v>
      </c>
      <c r="L68" s="6">
        <f t="shared" si="75"/>
        <v>133095574.23749998</v>
      </c>
      <c r="M68" s="6">
        <f t="shared" si="75"/>
        <v>133095574.23749998</v>
      </c>
      <c r="N68" s="6">
        <f t="shared" si="75"/>
        <v>133095574.23749998</v>
      </c>
      <c r="O68" s="6">
        <f t="shared" si="33"/>
        <v>532382296.94999993</v>
      </c>
      <c r="P68" s="6">
        <f t="shared" si="59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f t="shared" ref="W68" si="76">+W69</f>
        <v>0</v>
      </c>
      <c r="X68" s="6"/>
      <c r="Y68" s="6"/>
      <c r="Z68" s="6"/>
      <c r="AA68" s="6"/>
      <c r="AB68" s="6"/>
      <c r="AC68" s="6"/>
      <c r="AD68" s="6"/>
      <c r="AE68" s="6"/>
      <c r="AF68" s="6">
        <f t="shared" si="20"/>
        <v>0</v>
      </c>
      <c r="AG68" s="6">
        <f t="shared" si="21"/>
        <v>0</v>
      </c>
      <c r="AI68" s="174">
        <f t="shared" si="22"/>
        <v>1</v>
      </c>
      <c r="AJ68" s="174">
        <f t="shared" si="4"/>
        <v>1</v>
      </c>
      <c r="AK68" s="174">
        <f t="shared" si="5"/>
        <v>1</v>
      </c>
      <c r="AL68" s="174">
        <f t="shared" si="6"/>
        <v>1</v>
      </c>
      <c r="AM68" s="174">
        <f t="shared" si="7"/>
        <v>1</v>
      </c>
      <c r="AN68" s="174">
        <f t="shared" si="8"/>
        <v>1</v>
      </c>
      <c r="AO68" s="174">
        <f t="shared" si="9"/>
        <v>1</v>
      </c>
      <c r="AP68" s="174">
        <f t="shared" si="10"/>
        <v>1</v>
      </c>
      <c r="AQ68" s="174">
        <f t="shared" si="11"/>
        <v>1</v>
      </c>
      <c r="AR68" s="174">
        <f t="shared" si="12"/>
        <v>1</v>
      </c>
      <c r="AS68" s="174">
        <f t="shared" si="13"/>
        <v>1</v>
      </c>
      <c r="AT68" s="174">
        <f t="shared" si="14"/>
        <v>1</v>
      </c>
      <c r="AU68" s="174">
        <f t="shared" si="15"/>
        <v>1</v>
      </c>
      <c r="AV68" s="174">
        <f t="shared" si="16"/>
        <v>1</v>
      </c>
    </row>
    <row r="69" spans="1:48" x14ac:dyDescent="0.25">
      <c r="A69" s="7" t="s">
        <v>106</v>
      </c>
      <c r="B69" s="8" t="s">
        <v>62</v>
      </c>
      <c r="C69" s="9">
        <f t="shared" ref="C69:N69" si="77">SUM(C70:C71)</f>
        <v>133095574.23749998</v>
      </c>
      <c r="D69" s="9">
        <f t="shared" si="77"/>
        <v>133095574.23749998</v>
      </c>
      <c r="E69" s="9">
        <f t="shared" si="77"/>
        <v>133095574.23749998</v>
      </c>
      <c r="F69" s="9">
        <f t="shared" si="77"/>
        <v>133095574.23749998</v>
      </c>
      <c r="G69" s="9">
        <f t="shared" si="77"/>
        <v>133095574.23749998</v>
      </c>
      <c r="H69" s="9">
        <f t="shared" si="77"/>
        <v>133095574.23749998</v>
      </c>
      <c r="I69" s="9">
        <f t="shared" si="77"/>
        <v>133095574.23749998</v>
      </c>
      <c r="J69" s="9">
        <f t="shared" si="77"/>
        <v>133095574.23749998</v>
      </c>
      <c r="K69" s="9">
        <f t="shared" si="77"/>
        <v>133095574.23749998</v>
      </c>
      <c r="L69" s="9">
        <f t="shared" si="77"/>
        <v>133095574.23749998</v>
      </c>
      <c r="M69" s="9">
        <f t="shared" si="77"/>
        <v>133095574.23749998</v>
      </c>
      <c r="N69" s="9">
        <f t="shared" si="77"/>
        <v>133095574.23749998</v>
      </c>
      <c r="O69" s="9">
        <f t="shared" si="33"/>
        <v>532382296.94999993</v>
      </c>
      <c r="P69" s="9">
        <f t="shared" si="59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f t="shared" ref="W69" si="78">+W70+W71</f>
        <v>0</v>
      </c>
      <c r="X69" s="9"/>
      <c r="Y69" s="9"/>
      <c r="Z69" s="9"/>
      <c r="AA69" s="9"/>
      <c r="AB69" s="9"/>
      <c r="AC69" s="9"/>
      <c r="AD69" s="9"/>
      <c r="AE69" s="9"/>
      <c r="AF69" s="9">
        <f t="shared" si="20"/>
        <v>0</v>
      </c>
      <c r="AG69" s="9">
        <f t="shared" si="21"/>
        <v>0</v>
      </c>
      <c r="AI69" s="175">
        <f t="shared" si="22"/>
        <v>1</v>
      </c>
      <c r="AJ69" s="175">
        <f t="shared" ref="AJ69:AJ133" si="79">(D69-U69)/D69</f>
        <v>1</v>
      </c>
      <c r="AK69" s="175">
        <f t="shared" ref="AK69:AK133" si="80">(E69-V69)/E69</f>
        <v>1</v>
      </c>
      <c r="AL69" s="175">
        <f t="shared" ref="AL69:AL133" si="81">(F69-W69)/F69</f>
        <v>1</v>
      </c>
      <c r="AM69" s="175">
        <f t="shared" ref="AM69:AM133" si="82">(G69-X69)/G69</f>
        <v>1</v>
      </c>
      <c r="AN69" s="175">
        <f t="shared" ref="AN69:AN133" si="83">(H69-Y69)/H69</f>
        <v>1</v>
      </c>
      <c r="AO69" s="175">
        <f t="shared" ref="AO69:AO133" si="84">(I69-Z69)/I69</f>
        <v>1</v>
      </c>
      <c r="AP69" s="175">
        <f t="shared" ref="AP69:AP133" si="85">(J69-AA69)/J69</f>
        <v>1</v>
      </c>
      <c r="AQ69" s="175">
        <f t="shared" ref="AQ69:AQ133" si="86">(K69-AB69)/K69</f>
        <v>1</v>
      </c>
      <c r="AR69" s="175">
        <f t="shared" ref="AR69:AR133" si="87">(L69-AC69)/L69</f>
        <v>1</v>
      </c>
      <c r="AS69" s="175">
        <f t="shared" ref="AS69:AS133" si="88">(M69-AD69)/M69</f>
        <v>1</v>
      </c>
      <c r="AT69" s="175">
        <f t="shared" ref="AT69:AT133" si="89">(N69-AE69)/N69</f>
        <v>1</v>
      </c>
      <c r="AU69" s="175">
        <f t="shared" ref="AU69:AU133" si="90">(O69-AF69)/O69</f>
        <v>1</v>
      </c>
      <c r="AV69" s="175">
        <f t="shared" ref="AV69:AV133" si="91">(P69-AG69)/P69</f>
        <v>1</v>
      </c>
    </row>
    <row r="70" spans="1:48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33"/>
        <v>269882296.94999993</v>
      </c>
      <c r="P70" s="21">
        <f t="shared" si="59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61">
        <v>0</v>
      </c>
      <c r="X70" s="21"/>
      <c r="Y70" s="21"/>
      <c r="Z70" s="21"/>
      <c r="AA70" s="21"/>
      <c r="AB70" s="21"/>
      <c r="AC70" s="21"/>
      <c r="AD70" s="21"/>
      <c r="AE70" s="21"/>
      <c r="AF70" s="261">
        <f t="shared" ref="AF70:AF133" si="92">+T70+U70+V70+W70</f>
        <v>0</v>
      </c>
      <c r="AG70" s="21">
        <f t="shared" ref="AG70:AG133" si="93">+T70+U70+V70+W70</f>
        <v>0</v>
      </c>
      <c r="AI70" s="176">
        <f t="shared" ref="AI70:AI134" si="94">(C70-T70)/C70</f>
        <v>1</v>
      </c>
      <c r="AJ70" s="176">
        <f t="shared" si="79"/>
        <v>1</v>
      </c>
      <c r="AK70" s="176">
        <f t="shared" si="80"/>
        <v>1</v>
      </c>
      <c r="AL70" s="176">
        <f t="shared" si="81"/>
        <v>1</v>
      </c>
      <c r="AM70" s="176">
        <f t="shared" si="82"/>
        <v>1</v>
      </c>
      <c r="AN70" s="176">
        <f t="shared" si="83"/>
        <v>1</v>
      </c>
      <c r="AO70" s="176">
        <f t="shared" si="84"/>
        <v>1</v>
      </c>
      <c r="AP70" s="176">
        <f t="shared" si="85"/>
        <v>1</v>
      </c>
      <c r="AQ70" s="176">
        <f t="shared" si="86"/>
        <v>1</v>
      </c>
      <c r="AR70" s="176">
        <f t="shared" si="87"/>
        <v>1</v>
      </c>
      <c r="AS70" s="176">
        <f t="shared" si="88"/>
        <v>1</v>
      </c>
      <c r="AT70" s="176">
        <f t="shared" si="89"/>
        <v>1</v>
      </c>
      <c r="AU70" s="176">
        <f t="shared" si="90"/>
        <v>1</v>
      </c>
      <c r="AV70" s="176">
        <f t="shared" si="91"/>
        <v>1</v>
      </c>
    </row>
    <row r="71" spans="1:48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33"/>
        <v>262500000</v>
      </c>
      <c r="P71" s="21">
        <f t="shared" si="59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61">
        <v>0</v>
      </c>
      <c r="X71" s="21"/>
      <c r="Y71" s="21"/>
      <c r="Z71" s="21"/>
      <c r="AA71" s="21"/>
      <c r="AB71" s="21"/>
      <c r="AC71" s="21"/>
      <c r="AD71" s="21"/>
      <c r="AE71" s="21"/>
      <c r="AF71" s="261">
        <f t="shared" si="92"/>
        <v>0</v>
      </c>
      <c r="AG71" s="21">
        <f t="shared" si="93"/>
        <v>0</v>
      </c>
      <c r="AI71" s="176">
        <f t="shared" si="94"/>
        <v>1</v>
      </c>
      <c r="AJ71" s="176">
        <f t="shared" si="79"/>
        <v>1</v>
      </c>
      <c r="AK71" s="176">
        <f t="shared" si="80"/>
        <v>1</v>
      </c>
      <c r="AL71" s="176">
        <f t="shared" si="81"/>
        <v>1</v>
      </c>
      <c r="AM71" s="176">
        <f t="shared" si="82"/>
        <v>1</v>
      </c>
      <c r="AN71" s="176">
        <f t="shared" si="83"/>
        <v>1</v>
      </c>
      <c r="AO71" s="176">
        <f t="shared" si="84"/>
        <v>1</v>
      </c>
      <c r="AP71" s="176">
        <f t="shared" si="85"/>
        <v>1</v>
      </c>
      <c r="AQ71" s="176">
        <f t="shared" si="86"/>
        <v>1</v>
      </c>
      <c r="AR71" s="176">
        <f t="shared" si="87"/>
        <v>1</v>
      </c>
      <c r="AS71" s="176">
        <f t="shared" si="88"/>
        <v>1</v>
      </c>
      <c r="AT71" s="176">
        <f t="shared" si="89"/>
        <v>1</v>
      </c>
      <c r="AU71" s="176">
        <f t="shared" si="90"/>
        <v>1</v>
      </c>
      <c r="AV71" s="176">
        <f t="shared" si="91"/>
        <v>1</v>
      </c>
    </row>
    <row r="72" spans="1:48" x14ac:dyDescent="0.25">
      <c r="A72" s="4" t="s">
        <v>109</v>
      </c>
      <c r="B72" s="5" t="s">
        <v>110</v>
      </c>
      <c r="C72" s="6">
        <f t="shared" ref="C72:N72" si="95">+C73+C113</f>
        <v>1109863816.9823542</v>
      </c>
      <c r="D72" s="6">
        <f t="shared" si="95"/>
        <v>3003323420.9584103</v>
      </c>
      <c r="E72" s="6">
        <f t="shared" si="95"/>
        <v>1028153429.4740535</v>
      </c>
      <c r="F72" s="6">
        <f t="shared" si="95"/>
        <v>1221178303.4740534</v>
      </c>
      <c r="G72" s="6">
        <f t="shared" si="95"/>
        <v>614621686.4740535</v>
      </c>
      <c r="H72" s="6">
        <f t="shared" si="95"/>
        <v>575648718.29308152</v>
      </c>
      <c r="I72" s="6">
        <f t="shared" si="95"/>
        <v>659076766.40419257</v>
      </c>
      <c r="J72" s="6">
        <f t="shared" si="95"/>
        <v>638720199.29308152</v>
      </c>
      <c r="K72" s="6">
        <f t="shared" si="95"/>
        <v>552311010.29308152</v>
      </c>
      <c r="L72" s="6">
        <f t="shared" si="95"/>
        <v>537770369.29308152</v>
      </c>
      <c r="M72" s="6">
        <f t="shared" si="95"/>
        <v>527309480.39308137</v>
      </c>
      <c r="N72" s="6">
        <f t="shared" si="95"/>
        <v>365712024.39921832</v>
      </c>
      <c r="O72" s="6">
        <f t="shared" si="33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2795239885.21</v>
      </c>
      <c r="U72" s="6">
        <v>390614808.94999999</v>
      </c>
      <c r="V72" s="6">
        <v>601675691.28999996</v>
      </c>
      <c r="W72" s="6">
        <f t="shared" ref="W72" si="96">+W73+W113</f>
        <v>889606511</v>
      </c>
      <c r="X72" s="6"/>
      <c r="Y72" s="6"/>
      <c r="Z72" s="6"/>
      <c r="AA72" s="6"/>
      <c r="AB72" s="6"/>
      <c r="AC72" s="6"/>
      <c r="AD72" s="6"/>
      <c r="AE72" s="6"/>
      <c r="AF72" s="6">
        <f t="shared" si="92"/>
        <v>4677136896.4499998</v>
      </c>
      <c r="AG72" s="6">
        <f t="shared" si="93"/>
        <v>4677136896.4499998</v>
      </c>
      <c r="AI72" s="174">
        <f t="shared" si="94"/>
        <v>-1.5185431243358047</v>
      </c>
      <c r="AJ72" s="174">
        <f t="shared" si="79"/>
        <v>0.86993914600601085</v>
      </c>
      <c r="AK72" s="174">
        <f t="shared" si="80"/>
        <v>0.41479970397240806</v>
      </c>
      <c r="AL72" s="174">
        <f t="shared" si="81"/>
        <v>0.27151791964431865</v>
      </c>
      <c r="AM72" s="174">
        <f t="shared" si="82"/>
        <v>1</v>
      </c>
      <c r="AN72" s="174">
        <f t="shared" si="83"/>
        <v>1</v>
      </c>
      <c r="AO72" s="174">
        <f t="shared" si="84"/>
        <v>1</v>
      </c>
      <c r="AP72" s="174">
        <f t="shared" si="85"/>
        <v>1</v>
      </c>
      <c r="AQ72" s="174">
        <f t="shared" si="86"/>
        <v>1</v>
      </c>
      <c r="AR72" s="174">
        <f t="shared" si="87"/>
        <v>1</v>
      </c>
      <c r="AS72" s="174">
        <f t="shared" si="88"/>
        <v>1</v>
      </c>
      <c r="AT72" s="174">
        <f t="shared" si="89"/>
        <v>1</v>
      </c>
      <c r="AU72" s="174">
        <f t="shared" si="90"/>
        <v>0.26489226706437879</v>
      </c>
      <c r="AV72" s="174">
        <f t="shared" si="91"/>
        <v>0.56827846922717218</v>
      </c>
    </row>
    <row r="73" spans="1:48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97">+D74</f>
        <v>53960542.955989651</v>
      </c>
      <c r="E73" s="6">
        <f t="shared" si="97"/>
        <v>58933333.333333328</v>
      </c>
      <c r="F73" s="6">
        <f t="shared" si="97"/>
        <v>113033333.33333334</v>
      </c>
      <c r="G73" s="6">
        <f t="shared" si="97"/>
        <v>23033333.333333332</v>
      </c>
      <c r="H73" s="6">
        <f t="shared" si="97"/>
        <v>23033333.333333332</v>
      </c>
      <c r="I73" s="6">
        <f t="shared" si="97"/>
        <v>23233333.333333336</v>
      </c>
      <c r="J73" s="6">
        <f t="shared" si="97"/>
        <v>19061673.333333336</v>
      </c>
      <c r="K73" s="6">
        <f t="shared" si="97"/>
        <v>13033333.333333334</v>
      </c>
      <c r="L73" s="6">
        <f t="shared" si="97"/>
        <v>13033333.333333334</v>
      </c>
      <c r="M73" s="6">
        <f t="shared" si="97"/>
        <v>13033333.333333334</v>
      </c>
      <c r="N73" s="6">
        <f t="shared" si="97"/>
        <v>13033333.333333334</v>
      </c>
      <c r="O73" s="6">
        <f t="shared" si="33"/>
        <v>244960542.95598966</v>
      </c>
      <c r="P73" s="6">
        <f t="shared" si="97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f t="shared" ref="W73" si="98">+W74</f>
        <v>5327863</v>
      </c>
      <c r="X73" s="6"/>
      <c r="Y73" s="6"/>
      <c r="Z73" s="6"/>
      <c r="AA73" s="6"/>
      <c r="AB73" s="6"/>
      <c r="AC73" s="6"/>
      <c r="AD73" s="6"/>
      <c r="AE73" s="6"/>
      <c r="AF73" s="6">
        <f t="shared" si="92"/>
        <v>43501448</v>
      </c>
      <c r="AG73" s="6">
        <f t="shared" si="93"/>
        <v>43501448</v>
      </c>
      <c r="AI73" s="174">
        <f t="shared" si="94"/>
        <v>-0.1436421366024517</v>
      </c>
      <c r="AJ73" s="174">
        <f t="shared" si="79"/>
        <v>0.75142646338937313</v>
      </c>
      <c r="AK73" s="174">
        <f t="shared" si="80"/>
        <v>0.9492121040723982</v>
      </c>
      <c r="AL73" s="174">
        <f t="shared" si="81"/>
        <v>0.9528646741374226</v>
      </c>
      <c r="AM73" s="174">
        <f t="shared" si="82"/>
        <v>1</v>
      </c>
      <c r="AN73" s="174">
        <f t="shared" si="83"/>
        <v>1</v>
      </c>
      <c r="AO73" s="174">
        <f t="shared" si="84"/>
        <v>1</v>
      </c>
      <c r="AP73" s="174">
        <f t="shared" si="85"/>
        <v>1</v>
      </c>
      <c r="AQ73" s="174">
        <f t="shared" si="86"/>
        <v>1</v>
      </c>
      <c r="AR73" s="174">
        <f t="shared" si="87"/>
        <v>1</v>
      </c>
      <c r="AS73" s="174">
        <f t="shared" si="88"/>
        <v>1</v>
      </c>
      <c r="AT73" s="174">
        <f t="shared" si="89"/>
        <v>1</v>
      </c>
      <c r="AU73" s="174">
        <f t="shared" si="90"/>
        <v>0.82241446938735929</v>
      </c>
      <c r="AV73" s="174">
        <f t="shared" si="91"/>
        <v>0.88714276382170143</v>
      </c>
    </row>
    <row r="74" spans="1:48" x14ac:dyDescent="0.25">
      <c r="A74" s="4" t="s">
        <v>113</v>
      </c>
      <c r="B74" s="5" t="s">
        <v>114</v>
      </c>
      <c r="C74" s="6">
        <f t="shared" ref="C74:N74" si="99">+C75+C83+C107</f>
        <v>19033333.333333336</v>
      </c>
      <c r="D74" s="6">
        <f t="shared" si="99"/>
        <v>53960542.955989651</v>
      </c>
      <c r="E74" s="6">
        <f t="shared" si="99"/>
        <v>58933333.333333328</v>
      </c>
      <c r="F74" s="6">
        <f t="shared" si="99"/>
        <v>113033333.33333334</v>
      </c>
      <c r="G74" s="6">
        <f t="shared" si="99"/>
        <v>23033333.333333332</v>
      </c>
      <c r="H74" s="6">
        <f t="shared" si="99"/>
        <v>23033333.333333332</v>
      </c>
      <c r="I74" s="6">
        <f t="shared" si="99"/>
        <v>23233333.333333336</v>
      </c>
      <c r="J74" s="6">
        <f t="shared" si="99"/>
        <v>19061673.333333336</v>
      </c>
      <c r="K74" s="6">
        <f t="shared" si="99"/>
        <v>13033333.333333334</v>
      </c>
      <c r="L74" s="6">
        <f t="shared" si="99"/>
        <v>13033333.333333334</v>
      </c>
      <c r="M74" s="6">
        <f t="shared" si="99"/>
        <v>13033333.333333334</v>
      </c>
      <c r="N74" s="6">
        <f t="shared" si="99"/>
        <v>13033333.333333334</v>
      </c>
      <c r="O74" s="6">
        <f t="shared" si="33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f t="shared" ref="W74" si="100">+W75+W83+W107</f>
        <v>5327863</v>
      </c>
      <c r="X74" s="6"/>
      <c r="Y74" s="6"/>
      <c r="Z74" s="6"/>
      <c r="AA74" s="6"/>
      <c r="AB74" s="6"/>
      <c r="AC74" s="6"/>
      <c r="AD74" s="6"/>
      <c r="AE74" s="6"/>
      <c r="AF74" s="6">
        <f t="shared" si="92"/>
        <v>43501448</v>
      </c>
      <c r="AG74" s="6">
        <f t="shared" si="93"/>
        <v>43501448</v>
      </c>
      <c r="AI74" s="174">
        <f t="shared" si="94"/>
        <v>-0.1436421366024517</v>
      </c>
      <c r="AJ74" s="174">
        <f t="shared" si="79"/>
        <v>0.75142646338937313</v>
      </c>
      <c r="AK74" s="174">
        <f t="shared" si="80"/>
        <v>0.9492121040723982</v>
      </c>
      <c r="AL74" s="174">
        <f t="shared" si="81"/>
        <v>0.9528646741374226</v>
      </c>
      <c r="AM74" s="174">
        <f t="shared" si="82"/>
        <v>1</v>
      </c>
      <c r="AN74" s="174">
        <f t="shared" si="83"/>
        <v>1</v>
      </c>
      <c r="AO74" s="174">
        <f t="shared" si="84"/>
        <v>1</v>
      </c>
      <c r="AP74" s="174">
        <f t="shared" si="85"/>
        <v>1</v>
      </c>
      <c r="AQ74" s="174">
        <f t="shared" si="86"/>
        <v>1</v>
      </c>
      <c r="AR74" s="174">
        <f t="shared" si="87"/>
        <v>1</v>
      </c>
      <c r="AS74" s="174">
        <f t="shared" si="88"/>
        <v>1</v>
      </c>
      <c r="AT74" s="174">
        <f t="shared" si="89"/>
        <v>1</v>
      </c>
      <c r="AU74" s="174">
        <f t="shared" si="90"/>
        <v>0.82241446938735929</v>
      </c>
      <c r="AV74" s="174">
        <f t="shared" si="91"/>
        <v>0.88714276382170143</v>
      </c>
    </row>
    <row r="75" spans="1:48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101">+D76</f>
        <v>7500000</v>
      </c>
      <c r="E75" s="9">
        <f t="shared" si="101"/>
        <v>3700000</v>
      </c>
      <c r="F75" s="9">
        <f t="shared" si="101"/>
        <v>500000</v>
      </c>
      <c r="G75" s="9">
        <f t="shared" si="101"/>
        <v>500000</v>
      </c>
      <c r="H75" s="9">
        <f t="shared" si="101"/>
        <v>500000</v>
      </c>
      <c r="I75" s="9">
        <f t="shared" si="101"/>
        <v>4700000</v>
      </c>
      <c r="J75" s="9">
        <f t="shared" si="101"/>
        <v>500000</v>
      </c>
      <c r="K75" s="9">
        <f t="shared" si="101"/>
        <v>500000</v>
      </c>
      <c r="L75" s="9">
        <f t="shared" si="101"/>
        <v>500000</v>
      </c>
      <c r="M75" s="9">
        <f t="shared" si="101"/>
        <v>500000</v>
      </c>
      <c r="N75" s="9">
        <f t="shared" si="101"/>
        <v>500000</v>
      </c>
      <c r="O75" s="9">
        <f t="shared" ref="O75:O138" si="102">+C75+D75+E75+F75</f>
        <v>12200000</v>
      </c>
      <c r="P75" s="9">
        <f t="shared" si="101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f t="shared" ref="W75" si="103">+W76</f>
        <v>0</v>
      </c>
      <c r="X75" s="9"/>
      <c r="Y75" s="9"/>
      <c r="Z75" s="9"/>
      <c r="AA75" s="9"/>
      <c r="AB75" s="9"/>
      <c r="AC75" s="9"/>
      <c r="AD75" s="9"/>
      <c r="AE75" s="9"/>
      <c r="AF75" s="9">
        <f t="shared" si="92"/>
        <v>0</v>
      </c>
      <c r="AG75" s="9">
        <f t="shared" si="93"/>
        <v>0</v>
      </c>
      <c r="AI75" s="175">
        <f t="shared" si="94"/>
        <v>1</v>
      </c>
      <c r="AJ75" s="175">
        <f t="shared" si="79"/>
        <v>1</v>
      </c>
      <c r="AK75" s="175">
        <f t="shared" si="80"/>
        <v>1</v>
      </c>
      <c r="AL75" s="175">
        <f t="shared" si="81"/>
        <v>1</v>
      </c>
      <c r="AM75" s="175">
        <f t="shared" si="82"/>
        <v>1</v>
      </c>
      <c r="AN75" s="175">
        <f t="shared" si="83"/>
        <v>1</v>
      </c>
      <c r="AO75" s="175">
        <f t="shared" si="84"/>
        <v>1</v>
      </c>
      <c r="AP75" s="175">
        <f t="shared" si="85"/>
        <v>1</v>
      </c>
      <c r="AQ75" s="175">
        <f t="shared" si="86"/>
        <v>1</v>
      </c>
      <c r="AR75" s="175">
        <f t="shared" si="87"/>
        <v>1</v>
      </c>
      <c r="AS75" s="175">
        <f t="shared" si="88"/>
        <v>1</v>
      </c>
      <c r="AT75" s="175">
        <f t="shared" si="89"/>
        <v>1</v>
      </c>
      <c r="AU75" s="175">
        <f t="shared" si="90"/>
        <v>1</v>
      </c>
      <c r="AV75" s="175">
        <f t="shared" si="91"/>
        <v>1</v>
      </c>
    </row>
    <row r="76" spans="1:48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104">+D77+D82</f>
        <v>7500000</v>
      </c>
      <c r="E76" s="9">
        <f t="shared" si="104"/>
        <v>3700000</v>
      </c>
      <c r="F76" s="9">
        <f t="shared" si="104"/>
        <v>500000</v>
      </c>
      <c r="G76" s="9">
        <f t="shared" si="104"/>
        <v>500000</v>
      </c>
      <c r="H76" s="9">
        <f t="shared" si="104"/>
        <v>500000</v>
      </c>
      <c r="I76" s="9">
        <f t="shared" si="104"/>
        <v>4700000</v>
      </c>
      <c r="J76" s="9">
        <f t="shared" si="104"/>
        <v>500000</v>
      </c>
      <c r="K76" s="9">
        <f t="shared" si="104"/>
        <v>500000</v>
      </c>
      <c r="L76" s="9">
        <f t="shared" si="104"/>
        <v>500000</v>
      </c>
      <c r="M76" s="9">
        <f t="shared" si="104"/>
        <v>500000</v>
      </c>
      <c r="N76" s="9">
        <f t="shared" si="104"/>
        <v>500000</v>
      </c>
      <c r="O76" s="9">
        <f t="shared" si="102"/>
        <v>12200000</v>
      </c>
      <c r="P76" s="9">
        <f t="shared" si="104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f t="shared" ref="W76" si="105">+W77+W82</f>
        <v>0</v>
      </c>
      <c r="X76" s="9"/>
      <c r="Y76" s="9"/>
      <c r="Z76" s="9"/>
      <c r="AA76" s="9"/>
      <c r="AB76" s="9"/>
      <c r="AC76" s="9"/>
      <c r="AD76" s="9"/>
      <c r="AE76" s="9"/>
      <c r="AF76" s="9">
        <f t="shared" si="92"/>
        <v>0</v>
      </c>
      <c r="AG76" s="9">
        <f t="shared" si="93"/>
        <v>0</v>
      </c>
      <c r="AI76" s="175">
        <f t="shared" si="94"/>
        <v>1</v>
      </c>
      <c r="AJ76" s="175">
        <f t="shared" si="79"/>
        <v>1</v>
      </c>
      <c r="AK76" s="175">
        <f t="shared" si="80"/>
        <v>1</v>
      </c>
      <c r="AL76" s="175">
        <f t="shared" si="81"/>
        <v>1</v>
      </c>
      <c r="AM76" s="175">
        <f t="shared" si="82"/>
        <v>1</v>
      </c>
      <c r="AN76" s="175">
        <f t="shared" si="83"/>
        <v>1</v>
      </c>
      <c r="AO76" s="175">
        <f t="shared" si="84"/>
        <v>1</v>
      </c>
      <c r="AP76" s="175">
        <f t="shared" si="85"/>
        <v>1</v>
      </c>
      <c r="AQ76" s="175">
        <f t="shared" si="86"/>
        <v>1</v>
      </c>
      <c r="AR76" s="175">
        <f t="shared" si="87"/>
        <v>1</v>
      </c>
      <c r="AS76" s="175">
        <f t="shared" si="88"/>
        <v>1</v>
      </c>
      <c r="AT76" s="175">
        <f t="shared" si="89"/>
        <v>1</v>
      </c>
      <c r="AU76" s="175">
        <f t="shared" si="90"/>
        <v>1</v>
      </c>
      <c r="AV76" s="175">
        <f t="shared" si="91"/>
        <v>1</v>
      </c>
    </row>
    <row r="77" spans="1:48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106">+D78+D79+D80+D81</f>
        <v>6500000</v>
      </c>
      <c r="E77" s="9">
        <f t="shared" si="106"/>
        <v>3700000</v>
      </c>
      <c r="F77" s="9">
        <f t="shared" si="106"/>
        <v>500000</v>
      </c>
      <c r="G77" s="9">
        <f t="shared" si="106"/>
        <v>500000</v>
      </c>
      <c r="H77" s="9">
        <f t="shared" si="106"/>
        <v>500000</v>
      </c>
      <c r="I77" s="9">
        <f t="shared" si="106"/>
        <v>3700000</v>
      </c>
      <c r="J77" s="9">
        <f t="shared" si="106"/>
        <v>500000</v>
      </c>
      <c r="K77" s="9">
        <f t="shared" si="106"/>
        <v>500000</v>
      </c>
      <c r="L77" s="9">
        <f t="shared" si="106"/>
        <v>500000</v>
      </c>
      <c r="M77" s="9">
        <f t="shared" si="106"/>
        <v>500000</v>
      </c>
      <c r="N77" s="9">
        <f t="shared" si="106"/>
        <v>500000</v>
      </c>
      <c r="O77" s="9">
        <f t="shared" si="102"/>
        <v>11200000</v>
      </c>
      <c r="P77" s="9">
        <f t="shared" si="106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f t="shared" ref="W77" si="107">SUM(W78:W81)</f>
        <v>0</v>
      </c>
      <c r="X77" s="9"/>
      <c r="Y77" s="9"/>
      <c r="Z77" s="9"/>
      <c r="AA77" s="9"/>
      <c r="AB77" s="9"/>
      <c r="AC77" s="9"/>
      <c r="AD77" s="9"/>
      <c r="AE77" s="9"/>
      <c r="AF77" s="9">
        <f t="shared" si="92"/>
        <v>0</v>
      </c>
      <c r="AG77" s="9">
        <f t="shared" si="93"/>
        <v>0</v>
      </c>
      <c r="AI77" s="175">
        <f t="shared" si="94"/>
        <v>1</v>
      </c>
      <c r="AJ77" s="175">
        <f t="shared" si="79"/>
        <v>1</v>
      </c>
      <c r="AK77" s="175">
        <f t="shared" si="80"/>
        <v>1</v>
      </c>
      <c r="AL77" s="175">
        <f t="shared" si="81"/>
        <v>1</v>
      </c>
      <c r="AM77" s="175">
        <f t="shared" si="82"/>
        <v>1</v>
      </c>
      <c r="AN77" s="175">
        <f t="shared" si="83"/>
        <v>1</v>
      </c>
      <c r="AO77" s="175">
        <f t="shared" si="84"/>
        <v>1</v>
      </c>
      <c r="AP77" s="175">
        <f t="shared" si="85"/>
        <v>1</v>
      </c>
      <c r="AQ77" s="175">
        <f t="shared" si="86"/>
        <v>1</v>
      </c>
      <c r="AR77" s="175">
        <f t="shared" si="87"/>
        <v>1</v>
      </c>
      <c r="AS77" s="175">
        <f t="shared" si="88"/>
        <v>1</v>
      </c>
      <c r="AT77" s="175">
        <f t="shared" si="89"/>
        <v>1</v>
      </c>
      <c r="AU77" s="175">
        <f t="shared" si="90"/>
        <v>1</v>
      </c>
      <c r="AV77" s="175">
        <f t="shared" si="91"/>
        <v>1</v>
      </c>
    </row>
    <row r="78" spans="1:48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102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61">
        <v>0</v>
      </c>
      <c r="X78" s="21"/>
      <c r="Y78" s="21"/>
      <c r="Z78" s="21"/>
      <c r="AA78" s="21"/>
      <c r="AB78" s="21"/>
      <c r="AC78" s="21"/>
      <c r="AD78" s="21"/>
      <c r="AE78" s="21"/>
      <c r="AF78" s="261">
        <f t="shared" si="92"/>
        <v>0</v>
      </c>
      <c r="AG78" s="21">
        <f t="shared" si="93"/>
        <v>0</v>
      </c>
      <c r="AI78" s="176" t="e">
        <f t="shared" si="94"/>
        <v>#DIV/0!</v>
      </c>
      <c r="AJ78" s="176" t="e">
        <f t="shared" si="79"/>
        <v>#DIV/0!</v>
      </c>
      <c r="AK78" s="176">
        <f t="shared" si="80"/>
        <v>1</v>
      </c>
      <c r="AL78" s="176" t="e">
        <f t="shared" si="81"/>
        <v>#DIV/0!</v>
      </c>
      <c r="AM78" s="176" t="e">
        <f t="shared" si="82"/>
        <v>#DIV/0!</v>
      </c>
      <c r="AN78" s="176" t="e">
        <f t="shared" si="83"/>
        <v>#DIV/0!</v>
      </c>
      <c r="AO78" s="176">
        <f t="shared" si="84"/>
        <v>1</v>
      </c>
      <c r="AP78" s="176" t="e">
        <f t="shared" si="85"/>
        <v>#DIV/0!</v>
      </c>
      <c r="AQ78" s="176" t="e">
        <f t="shared" si="86"/>
        <v>#DIV/0!</v>
      </c>
      <c r="AR78" s="176" t="e">
        <f t="shared" si="87"/>
        <v>#DIV/0!</v>
      </c>
      <c r="AS78" s="176" t="e">
        <f t="shared" si="88"/>
        <v>#DIV/0!</v>
      </c>
      <c r="AT78" s="176" t="e">
        <f t="shared" si="89"/>
        <v>#DIV/0!</v>
      </c>
      <c r="AU78" s="176">
        <f t="shared" si="90"/>
        <v>1</v>
      </c>
      <c r="AV78" s="176">
        <f t="shared" si="91"/>
        <v>1</v>
      </c>
    </row>
    <row r="79" spans="1:48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102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61">
        <v>0</v>
      </c>
      <c r="X79" s="21"/>
      <c r="Y79" s="21"/>
      <c r="Z79" s="21"/>
      <c r="AA79" s="21"/>
      <c r="AB79" s="21"/>
      <c r="AC79" s="21"/>
      <c r="AD79" s="21"/>
      <c r="AE79" s="21"/>
      <c r="AF79" s="261">
        <f t="shared" si="92"/>
        <v>0</v>
      </c>
      <c r="AG79" s="21">
        <f t="shared" si="93"/>
        <v>0</v>
      </c>
      <c r="AI79" s="176">
        <f t="shared" si="94"/>
        <v>1</v>
      </c>
      <c r="AJ79" s="176">
        <f t="shared" si="79"/>
        <v>1</v>
      </c>
      <c r="AK79" s="176">
        <f t="shared" si="80"/>
        <v>1</v>
      </c>
      <c r="AL79" s="176">
        <f t="shared" si="81"/>
        <v>1</v>
      </c>
      <c r="AM79" s="176">
        <f t="shared" si="82"/>
        <v>1</v>
      </c>
      <c r="AN79" s="176">
        <f t="shared" si="83"/>
        <v>1</v>
      </c>
      <c r="AO79" s="176">
        <f t="shared" si="84"/>
        <v>1</v>
      </c>
      <c r="AP79" s="176">
        <f t="shared" si="85"/>
        <v>1</v>
      </c>
      <c r="AQ79" s="176">
        <f t="shared" si="86"/>
        <v>1</v>
      </c>
      <c r="AR79" s="176">
        <f t="shared" si="87"/>
        <v>1</v>
      </c>
      <c r="AS79" s="176">
        <f t="shared" si="88"/>
        <v>1</v>
      </c>
      <c r="AT79" s="176">
        <f t="shared" si="89"/>
        <v>1</v>
      </c>
      <c r="AU79" s="176">
        <f t="shared" si="90"/>
        <v>1</v>
      </c>
      <c r="AV79" s="176">
        <f t="shared" si="91"/>
        <v>1</v>
      </c>
    </row>
    <row r="80" spans="1:48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102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61">
        <v>0</v>
      </c>
      <c r="X80" s="21"/>
      <c r="Y80" s="21"/>
      <c r="Z80" s="21"/>
      <c r="AA80" s="21"/>
      <c r="AB80" s="21"/>
      <c r="AC80" s="21"/>
      <c r="AD80" s="21"/>
      <c r="AE80" s="21"/>
      <c r="AF80" s="261">
        <f t="shared" si="92"/>
        <v>0</v>
      </c>
      <c r="AG80" s="21">
        <f t="shared" si="93"/>
        <v>0</v>
      </c>
      <c r="AI80" s="176" t="e">
        <f t="shared" si="94"/>
        <v>#DIV/0!</v>
      </c>
      <c r="AJ80" s="176">
        <f t="shared" si="79"/>
        <v>1</v>
      </c>
      <c r="AK80" s="176" t="e">
        <f t="shared" si="80"/>
        <v>#DIV/0!</v>
      </c>
      <c r="AL80" s="176" t="e">
        <f t="shared" si="81"/>
        <v>#DIV/0!</v>
      </c>
      <c r="AM80" s="176" t="e">
        <f t="shared" si="82"/>
        <v>#DIV/0!</v>
      </c>
      <c r="AN80" s="176" t="e">
        <f t="shared" si="83"/>
        <v>#DIV/0!</v>
      </c>
      <c r="AO80" s="176" t="e">
        <f t="shared" si="84"/>
        <v>#DIV/0!</v>
      </c>
      <c r="AP80" s="176" t="e">
        <f t="shared" si="85"/>
        <v>#DIV/0!</v>
      </c>
      <c r="AQ80" s="176" t="e">
        <f t="shared" si="86"/>
        <v>#DIV/0!</v>
      </c>
      <c r="AR80" s="176" t="e">
        <f t="shared" si="87"/>
        <v>#DIV/0!</v>
      </c>
      <c r="AS80" s="176" t="e">
        <f t="shared" si="88"/>
        <v>#DIV/0!</v>
      </c>
      <c r="AT80" s="176" t="e">
        <f t="shared" si="89"/>
        <v>#DIV/0!</v>
      </c>
      <c r="AU80" s="176">
        <f t="shared" si="90"/>
        <v>1</v>
      </c>
      <c r="AV80" s="176">
        <f t="shared" si="91"/>
        <v>1</v>
      </c>
    </row>
    <row r="81" spans="1:48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102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61">
        <v>0</v>
      </c>
      <c r="X81" s="21"/>
      <c r="Y81" s="21"/>
      <c r="Z81" s="21"/>
      <c r="AA81" s="21"/>
      <c r="AB81" s="21"/>
      <c r="AC81" s="21"/>
      <c r="AD81" s="21"/>
      <c r="AE81" s="21"/>
      <c r="AF81" s="261">
        <f t="shared" si="92"/>
        <v>0</v>
      </c>
      <c r="AG81" s="21">
        <f t="shared" si="93"/>
        <v>0</v>
      </c>
      <c r="AI81" s="176" t="e">
        <f t="shared" si="94"/>
        <v>#DIV/0!</v>
      </c>
      <c r="AJ81" s="176" t="e">
        <f t="shared" si="79"/>
        <v>#DIV/0!</v>
      </c>
      <c r="AK81" s="176">
        <f t="shared" si="80"/>
        <v>1</v>
      </c>
      <c r="AL81" s="176" t="e">
        <f t="shared" si="81"/>
        <v>#DIV/0!</v>
      </c>
      <c r="AM81" s="176" t="e">
        <f t="shared" si="82"/>
        <v>#DIV/0!</v>
      </c>
      <c r="AN81" s="176" t="e">
        <f t="shared" si="83"/>
        <v>#DIV/0!</v>
      </c>
      <c r="AO81" s="176">
        <f t="shared" si="84"/>
        <v>1</v>
      </c>
      <c r="AP81" s="176" t="e">
        <f t="shared" si="85"/>
        <v>#DIV/0!</v>
      </c>
      <c r="AQ81" s="176" t="e">
        <f t="shared" si="86"/>
        <v>#DIV/0!</v>
      </c>
      <c r="AR81" s="176" t="e">
        <f t="shared" si="87"/>
        <v>#DIV/0!</v>
      </c>
      <c r="AS81" s="176" t="e">
        <f t="shared" si="88"/>
        <v>#DIV/0!</v>
      </c>
      <c r="AT81" s="176" t="e">
        <f t="shared" si="89"/>
        <v>#DIV/0!</v>
      </c>
      <c r="AU81" s="176">
        <f t="shared" si="90"/>
        <v>1</v>
      </c>
      <c r="AV81" s="176">
        <f t="shared" si="91"/>
        <v>1</v>
      </c>
    </row>
    <row r="82" spans="1:48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102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61">
        <v>0</v>
      </c>
      <c r="X82" s="21"/>
      <c r="Y82" s="21"/>
      <c r="Z82" s="21"/>
      <c r="AA82" s="21"/>
      <c r="AB82" s="21"/>
      <c r="AC82" s="21"/>
      <c r="AD82" s="21"/>
      <c r="AE82" s="21"/>
      <c r="AF82" s="261">
        <f t="shared" si="92"/>
        <v>0</v>
      </c>
      <c r="AG82" s="21">
        <f t="shared" si="93"/>
        <v>0</v>
      </c>
      <c r="AI82" s="176" t="e">
        <f t="shared" si="94"/>
        <v>#DIV/0!</v>
      </c>
      <c r="AJ82" s="176">
        <f t="shared" si="79"/>
        <v>1</v>
      </c>
      <c r="AK82" s="176" t="e">
        <f t="shared" si="80"/>
        <v>#DIV/0!</v>
      </c>
      <c r="AL82" s="176" t="e">
        <f t="shared" si="81"/>
        <v>#DIV/0!</v>
      </c>
      <c r="AM82" s="176" t="e">
        <f t="shared" si="82"/>
        <v>#DIV/0!</v>
      </c>
      <c r="AN82" s="176" t="e">
        <f t="shared" si="83"/>
        <v>#DIV/0!</v>
      </c>
      <c r="AO82" s="176">
        <f t="shared" si="84"/>
        <v>1</v>
      </c>
      <c r="AP82" s="176" t="e">
        <f t="shared" si="85"/>
        <v>#DIV/0!</v>
      </c>
      <c r="AQ82" s="176" t="e">
        <f t="shared" si="86"/>
        <v>#DIV/0!</v>
      </c>
      <c r="AR82" s="176" t="e">
        <f t="shared" si="87"/>
        <v>#DIV/0!</v>
      </c>
      <c r="AS82" s="176" t="e">
        <f t="shared" si="88"/>
        <v>#DIV/0!</v>
      </c>
      <c r="AT82" s="176" t="e">
        <f t="shared" si="89"/>
        <v>#DIV/0!</v>
      </c>
      <c r="AU82" s="176">
        <f t="shared" si="90"/>
        <v>1</v>
      </c>
      <c r="AV82" s="176">
        <f t="shared" si="91"/>
        <v>1</v>
      </c>
    </row>
    <row r="83" spans="1:48" x14ac:dyDescent="0.25">
      <c r="A83" s="7" t="s">
        <v>131</v>
      </c>
      <c r="B83" s="8" t="s">
        <v>132</v>
      </c>
      <c r="C83" s="9">
        <f t="shared" ref="C83:N83" si="108">+C84+C87+C91+C94+C99+C101+C106</f>
        <v>18533333.333333336</v>
      </c>
      <c r="D83" s="9">
        <f t="shared" si="108"/>
        <v>46460542.955989651</v>
      </c>
      <c r="E83" s="9">
        <f t="shared" si="108"/>
        <v>45233333.333333328</v>
      </c>
      <c r="F83" s="9">
        <f t="shared" si="108"/>
        <v>32533333.333333336</v>
      </c>
      <c r="G83" s="9">
        <f t="shared" si="108"/>
        <v>22533333.333333332</v>
      </c>
      <c r="H83" s="9">
        <f t="shared" si="108"/>
        <v>22533333.333333332</v>
      </c>
      <c r="I83" s="9">
        <f t="shared" si="108"/>
        <v>18533333.333333336</v>
      </c>
      <c r="J83" s="9">
        <f t="shared" si="108"/>
        <v>18561673.333333336</v>
      </c>
      <c r="K83" s="9">
        <f t="shared" si="108"/>
        <v>12533333.333333334</v>
      </c>
      <c r="L83" s="9">
        <f t="shared" si="108"/>
        <v>12533333.333333334</v>
      </c>
      <c r="M83" s="9">
        <f t="shared" si="108"/>
        <v>12533333.333333334</v>
      </c>
      <c r="N83" s="9">
        <f t="shared" si="108"/>
        <v>12533333.333333334</v>
      </c>
      <c r="O83" s="9">
        <f t="shared" si="102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f t="shared" ref="W83" si="109">+W84+W87+W91+W94+W99+W101+W105</f>
        <v>2266250</v>
      </c>
      <c r="X83" s="9"/>
      <c r="Y83" s="9"/>
      <c r="Z83" s="9"/>
      <c r="AA83" s="9"/>
      <c r="AB83" s="9"/>
      <c r="AC83" s="9"/>
      <c r="AD83" s="9"/>
      <c r="AE83" s="9"/>
      <c r="AF83" s="9">
        <f t="shared" si="92"/>
        <v>28839072</v>
      </c>
      <c r="AG83" s="9">
        <f t="shared" si="93"/>
        <v>28839072</v>
      </c>
      <c r="AI83" s="175">
        <f t="shared" si="94"/>
        <v>-0.17449579136690632</v>
      </c>
      <c r="AJ83" s="175">
        <f t="shared" si="79"/>
        <v>0.9591911785922087</v>
      </c>
      <c r="AK83" s="175">
        <f t="shared" si="80"/>
        <v>0.93567796610169496</v>
      </c>
      <c r="AL83" s="175">
        <f t="shared" si="81"/>
        <v>0.93034067622950822</v>
      </c>
      <c r="AM83" s="175">
        <f t="shared" si="82"/>
        <v>1</v>
      </c>
      <c r="AN83" s="175">
        <f t="shared" si="83"/>
        <v>1</v>
      </c>
      <c r="AO83" s="175">
        <f t="shared" si="84"/>
        <v>1</v>
      </c>
      <c r="AP83" s="175">
        <f t="shared" si="85"/>
        <v>1</v>
      </c>
      <c r="AQ83" s="175">
        <f t="shared" si="86"/>
        <v>1</v>
      </c>
      <c r="AR83" s="175">
        <f t="shared" si="87"/>
        <v>1</v>
      </c>
      <c r="AS83" s="175">
        <f t="shared" si="88"/>
        <v>1</v>
      </c>
      <c r="AT83" s="175">
        <f t="shared" si="89"/>
        <v>1</v>
      </c>
      <c r="AU83" s="175">
        <f t="shared" si="90"/>
        <v>0.79798989690806565</v>
      </c>
      <c r="AV83" s="175">
        <f t="shared" si="91"/>
        <v>0.89515182645991398</v>
      </c>
    </row>
    <row r="84" spans="1:48" x14ac:dyDescent="0.25">
      <c r="A84" s="7" t="s">
        <v>133</v>
      </c>
      <c r="B84" s="8" t="s">
        <v>134</v>
      </c>
      <c r="C84" s="9">
        <f t="shared" ref="C84:N84" si="110">SUM(C85:C86)</f>
        <v>4666666.666666667</v>
      </c>
      <c r="D84" s="9">
        <f t="shared" si="110"/>
        <v>9622216.2893229835</v>
      </c>
      <c r="E84" s="9">
        <f t="shared" si="110"/>
        <v>4666666.666666667</v>
      </c>
      <c r="F84" s="9">
        <f t="shared" si="110"/>
        <v>4666666.666666667</v>
      </c>
      <c r="G84" s="9">
        <f t="shared" si="110"/>
        <v>4666666.666666667</v>
      </c>
      <c r="H84" s="9">
        <f t="shared" si="110"/>
        <v>4666666.666666667</v>
      </c>
      <c r="I84" s="9">
        <f t="shared" si="110"/>
        <v>4666666.666666667</v>
      </c>
      <c r="J84" s="9">
        <f t="shared" si="110"/>
        <v>4666666.666666667</v>
      </c>
      <c r="K84" s="9">
        <f t="shared" si="110"/>
        <v>4666666.666666667</v>
      </c>
      <c r="L84" s="9">
        <f t="shared" si="110"/>
        <v>4666666.666666667</v>
      </c>
      <c r="M84" s="9">
        <f t="shared" si="110"/>
        <v>4666666.666666667</v>
      </c>
      <c r="N84" s="9">
        <f t="shared" si="110"/>
        <v>4666666.666666667</v>
      </c>
      <c r="O84" s="9">
        <f t="shared" si="102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f t="shared" ref="W84" si="111">+W85+W86</f>
        <v>250000</v>
      </c>
      <c r="X84" s="9"/>
      <c r="Y84" s="9"/>
      <c r="Z84" s="9"/>
      <c r="AA84" s="9"/>
      <c r="AB84" s="9"/>
      <c r="AC84" s="9"/>
      <c r="AD84" s="9"/>
      <c r="AE84" s="9"/>
      <c r="AF84" s="9">
        <f t="shared" si="92"/>
        <v>6202714</v>
      </c>
      <c r="AG84" s="9">
        <f t="shared" si="93"/>
        <v>6202714</v>
      </c>
      <c r="AI84" s="175">
        <f t="shared" si="94"/>
        <v>0.37509700000000007</v>
      </c>
      <c r="AJ84" s="175">
        <f t="shared" si="79"/>
        <v>0.95479211993159152</v>
      </c>
      <c r="AK84" s="175">
        <f t="shared" si="80"/>
        <v>0.44253571428571431</v>
      </c>
      <c r="AL84" s="175">
        <f t="shared" si="81"/>
        <v>0.9464285714285714</v>
      </c>
      <c r="AM84" s="175">
        <f t="shared" si="82"/>
        <v>1</v>
      </c>
      <c r="AN84" s="175">
        <f t="shared" si="83"/>
        <v>1</v>
      </c>
      <c r="AO84" s="175">
        <f t="shared" si="84"/>
        <v>1</v>
      </c>
      <c r="AP84" s="175">
        <f t="shared" si="85"/>
        <v>1</v>
      </c>
      <c r="AQ84" s="175">
        <f t="shared" si="86"/>
        <v>1</v>
      </c>
      <c r="AR84" s="175">
        <f t="shared" si="87"/>
        <v>1</v>
      </c>
      <c r="AS84" s="175">
        <f t="shared" si="88"/>
        <v>1</v>
      </c>
      <c r="AT84" s="175">
        <f t="shared" si="89"/>
        <v>1</v>
      </c>
      <c r="AU84" s="175">
        <f t="shared" si="90"/>
        <v>0.73742031975197997</v>
      </c>
      <c r="AV84" s="175">
        <f t="shared" si="91"/>
        <v>0.8982420134278547</v>
      </c>
    </row>
    <row r="85" spans="1:48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102"/>
        <v>3000000</v>
      </c>
      <c r="P85" s="21">
        <f t="shared" ref="P85:P106" si="112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61">
        <v>0</v>
      </c>
      <c r="X85" s="21"/>
      <c r="Y85" s="21"/>
      <c r="Z85" s="21"/>
      <c r="AA85" s="21"/>
      <c r="AB85" s="21"/>
      <c r="AC85" s="21"/>
      <c r="AD85" s="21"/>
      <c r="AE85" s="21"/>
      <c r="AF85" s="261">
        <f t="shared" si="92"/>
        <v>0</v>
      </c>
      <c r="AG85" s="21">
        <f t="shared" si="93"/>
        <v>0</v>
      </c>
      <c r="AI85" s="176" t="e">
        <f t="shared" si="94"/>
        <v>#DIV/0!</v>
      </c>
      <c r="AJ85" s="176">
        <f t="shared" si="79"/>
        <v>1</v>
      </c>
      <c r="AK85" s="176" t="e">
        <f t="shared" si="80"/>
        <v>#DIV/0!</v>
      </c>
      <c r="AL85" s="176" t="e">
        <f t="shared" si="81"/>
        <v>#DIV/0!</v>
      </c>
      <c r="AM85" s="176" t="e">
        <f t="shared" si="82"/>
        <v>#DIV/0!</v>
      </c>
      <c r="AN85" s="176" t="e">
        <f t="shared" si="83"/>
        <v>#DIV/0!</v>
      </c>
      <c r="AO85" s="176" t="e">
        <f t="shared" si="84"/>
        <v>#DIV/0!</v>
      </c>
      <c r="AP85" s="176" t="e">
        <f t="shared" si="85"/>
        <v>#DIV/0!</v>
      </c>
      <c r="AQ85" s="176" t="e">
        <f t="shared" si="86"/>
        <v>#DIV/0!</v>
      </c>
      <c r="AR85" s="176" t="e">
        <f t="shared" si="87"/>
        <v>#DIV/0!</v>
      </c>
      <c r="AS85" s="176" t="e">
        <f t="shared" si="88"/>
        <v>#DIV/0!</v>
      </c>
      <c r="AT85" s="176" t="e">
        <f t="shared" si="89"/>
        <v>#DIV/0!</v>
      </c>
      <c r="AU85" s="176">
        <f t="shared" si="90"/>
        <v>1</v>
      </c>
      <c r="AV85" s="176">
        <f t="shared" si="91"/>
        <v>1</v>
      </c>
    </row>
    <row r="86" spans="1:48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102"/>
        <v>20622216.289322983</v>
      </c>
      <c r="P86" s="21">
        <f t="shared" si="112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61">
        <v>250000</v>
      </c>
      <c r="X86" s="21"/>
      <c r="Y86" s="21"/>
      <c r="Z86" s="21"/>
      <c r="AA86" s="21"/>
      <c r="AB86" s="21"/>
      <c r="AC86" s="21"/>
      <c r="AD86" s="21"/>
      <c r="AE86" s="21"/>
      <c r="AF86" s="261">
        <f t="shared" si="92"/>
        <v>6202714</v>
      </c>
      <c r="AG86" s="21">
        <f t="shared" si="93"/>
        <v>6202714</v>
      </c>
      <c r="AI86" s="176">
        <f t="shared" si="94"/>
        <v>0.37509700000000007</v>
      </c>
      <c r="AJ86" s="176">
        <f t="shared" si="79"/>
        <v>0.93431202168655358</v>
      </c>
      <c r="AK86" s="176">
        <f t="shared" si="80"/>
        <v>0.44253571428571431</v>
      </c>
      <c r="AL86" s="176">
        <f t="shared" si="81"/>
        <v>0.9464285714285714</v>
      </c>
      <c r="AM86" s="176">
        <f t="shared" si="82"/>
        <v>1</v>
      </c>
      <c r="AN86" s="176">
        <f t="shared" si="83"/>
        <v>1</v>
      </c>
      <c r="AO86" s="176">
        <f t="shared" si="84"/>
        <v>1</v>
      </c>
      <c r="AP86" s="176">
        <f t="shared" si="85"/>
        <v>1</v>
      </c>
      <c r="AQ86" s="176">
        <f t="shared" si="86"/>
        <v>1</v>
      </c>
      <c r="AR86" s="176">
        <f t="shared" si="87"/>
        <v>1</v>
      </c>
      <c r="AS86" s="176">
        <f t="shared" si="88"/>
        <v>1</v>
      </c>
      <c r="AT86" s="176">
        <f t="shared" si="89"/>
        <v>1</v>
      </c>
      <c r="AU86" s="176">
        <f t="shared" si="90"/>
        <v>0.69922175614017712</v>
      </c>
      <c r="AV86" s="176">
        <f t="shared" si="91"/>
        <v>0.89297463244874131</v>
      </c>
    </row>
    <row r="87" spans="1:48" x14ac:dyDescent="0.25">
      <c r="A87" s="7" t="s">
        <v>139</v>
      </c>
      <c r="B87" s="8" t="s">
        <v>140</v>
      </c>
      <c r="C87" s="9">
        <f t="shared" ref="C87:N87" si="113">SUM(C88:C90)</f>
        <v>1666666.6666666667</v>
      </c>
      <c r="D87" s="9">
        <f t="shared" si="113"/>
        <v>12638326.666666666</v>
      </c>
      <c r="E87" s="9">
        <f t="shared" si="113"/>
        <v>11666666.666666666</v>
      </c>
      <c r="F87" s="9">
        <f t="shared" si="113"/>
        <v>1666666.6666666667</v>
      </c>
      <c r="G87" s="9">
        <f t="shared" si="113"/>
        <v>11666666.666666666</v>
      </c>
      <c r="H87" s="9">
        <f t="shared" si="113"/>
        <v>11666666.666666666</v>
      </c>
      <c r="I87" s="9">
        <f t="shared" si="113"/>
        <v>1666666.6666666667</v>
      </c>
      <c r="J87" s="9">
        <f t="shared" si="113"/>
        <v>5695006.666666667</v>
      </c>
      <c r="K87" s="9">
        <f t="shared" si="113"/>
        <v>1666666.6666666667</v>
      </c>
      <c r="L87" s="9">
        <f t="shared" si="113"/>
        <v>1666666.6666666667</v>
      </c>
      <c r="M87" s="9">
        <f t="shared" si="113"/>
        <v>1666666.6666666667</v>
      </c>
      <c r="N87" s="9">
        <f t="shared" si="113"/>
        <v>1666666.6666666667</v>
      </c>
      <c r="O87" s="9">
        <f t="shared" si="102"/>
        <v>27638326.666666668</v>
      </c>
      <c r="P87" s="9">
        <f t="shared" si="112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f t="shared" ref="W87" si="114">+W88+W89+W90</f>
        <v>1070000</v>
      </c>
      <c r="X87" s="9"/>
      <c r="Y87" s="9"/>
      <c r="Z87" s="9"/>
      <c r="AA87" s="9"/>
      <c r="AB87" s="9"/>
      <c r="AC87" s="9"/>
      <c r="AD87" s="9"/>
      <c r="AE87" s="9"/>
      <c r="AF87" s="9">
        <f t="shared" si="92"/>
        <v>10189000</v>
      </c>
      <c r="AG87" s="9">
        <f t="shared" si="93"/>
        <v>10189000</v>
      </c>
      <c r="AI87" s="175">
        <f t="shared" si="94"/>
        <v>-3.7399999999999998</v>
      </c>
      <c r="AJ87" s="175">
        <f t="shared" si="79"/>
        <v>0.91209279287500611</v>
      </c>
      <c r="AK87" s="175">
        <f t="shared" si="80"/>
        <v>0.99074285714285715</v>
      </c>
      <c r="AL87" s="175">
        <f t="shared" si="81"/>
        <v>0.35800000000000004</v>
      </c>
      <c r="AM87" s="175">
        <f t="shared" si="82"/>
        <v>1</v>
      </c>
      <c r="AN87" s="175">
        <f t="shared" si="83"/>
        <v>1</v>
      </c>
      <c r="AO87" s="175">
        <f t="shared" si="84"/>
        <v>1</v>
      </c>
      <c r="AP87" s="175">
        <f t="shared" si="85"/>
        <v>1</v>
      </c>
      <c r="AQ87" s="175">
        <f t="shared" si="86"/>
        <v>1</v>
      </c>
      <c r="AR87" s="175">
        <f t="shared" si="87"/>
        <v>1</v>
      </c>
      <c r="AS87" s="175">
        <f t="shared" si="88"/>
        <v>1</v>
      </c>
      <c r="AT87" s="175">
        <f t="shared" si="89"/>
        <v>1</v>
      </c>
      <c r="AU87" s="175">
        <f t="shared" si="90"/>
        <v>0.63134526475191821</v>
      </c>
      <c r="AV87" s="175">
        <f t="shared" si="91"/>
        <v>0.84324615384615376</v>
      </c>
    </row>
    <row r="88" spans="1:48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102"/>
        <v>15971660</v>
      </c>
      <c r="P88" s="21">
        <f t="shared" si="112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61">
        <v>1070000</v>
      </c>
      <c r="X88" s="21"/>
      <c r="Y88" s="21"/>
      <c r="Z88" s="21"/>
      <c r="AA88" s="21"/>
      <c r="AB88" s="21"/>
      <c r="AC88" s="21"/>
      <c r="AD88" s="21"/>
      <c r="AE88" s="21"/>
      <c r="AF88" s="261">
        <f t="shared" si="92"/>
        <v>8401000</v>
      </c>
      <c r="AG88" s="21">
        <f t="shared" si="93"/>
        <v>8401000</v>
      </c>
      <c r="AI88" s="176" t="e">
        <f t="shared" si="94"/>
        <v>#DIV/0!</v>
      </c>
      <c r="AJ88" s="176">
        <f t="shared" si="79"/>
        <v>0.86084271375128518</v>
      </c>
      <c r="AK88" s="176">
        <f t="shared" si="80"/>
        <v>1</v>
      </c>
      <c r="AL88" s="176" t="e">
        <f t="shared" si="81"/>
        <v>#DIV/0!</v>
      </c>
      <c r="AM88" s="176" t="e">
        <f t="shared" si="82"/>
        <v>#DIV/0!</v>
      </c>
      <c r="AN88" s="176">
        <f t="shared" si="83"/>
        <v>1</v>
      </c>
      <c r="AO88" s="176" t="e">
        <f t="shared" si="84"/>
        <v>#DIV/0!</v>
      </c>
      <c r="AP88" s="176">
        <f t="shared" si="85"/>
        <v>1</v>
      </c>
      <c r="AQ88" s="176" t="e">
        <f t="shared" si="86"/>
        <v>#DIV/0!</v>
      </c>
      <c r="AR88" s="176" t="e">
        <f t="shared" si="87"/>
        <v>#DIV/0!</v>
      </c>
      <c r="AS88" s="176" t="e">
        <f t="shared" si="88"/>
        <v>#DIV/0!</v>
      </c>
      <c r="AT88" s="176" t="e">
        <f t="shared" si="89"/>
        <v>#DIV/0!</v>
      </c>
      <c r="AU88" s="176">
        <f t="shared" si="90"/>
        <v>0.47400583283140263</v>
      </c>
      <c r="AV88" s="176">
        <f t="shared" si="91"/>
        <v>0.71996666666666664</v>
      </c>
    </row>
    <row r="89" spans="1:48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102"/>
        <v>5000000</v>
      </c>
      <c r="P89" s="21">
        <f t="shared" si="112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61">
        <v>0</v>
      </c>
      <c r="X89" s="21"/>
      <c r="Y89" s="21"/>
      <c r="Z89" s="21"/>
      <c r="AA89" s="21"/>
      <c r="AB89" s="21"/>
      <c r="AC89" s="21"/>
      <c r="AD89" s="21"/>
      <c r="AE89" s="21"/>
      <c r="AF89" s="261">
        <f t="shared" si="92"/>
        <v>0</v>
      </c>
      <c r="AG89" s="21">
        <f t="shared" si="93"/>
        <v>0</v>
      </c>
      <c r="AI89" s="176" t="e">
        <f t="shared" si="94"/>
        <v>#DIV/0!</v>
      </c>
      <c r="AJ89" s="176">
        <f t="shared" si="79"/>
        <v>1</v>
      </c>
      <c r="AK89" s="176" t="e">
        <f t="shared" si="80"/>
        <v>#DIV/0!</v>
      </c>
      <c r="AL89" s="176" t="e">
        <f t="shared" si="81"/>
        <v>#DIV/0!</v>
      </c>
      <c r="AM89" s="176" t="e">
        <f t="shared" si="82"/>
        <v>#DIV/0!</v>
      </c>
      <c r="AN89" s="176" t="e">
        <f t="shared" si="83"/>
        <v>#DIV/0!</v>
      </c>
      <c r="AO89" s="176" t="e">
        <f t="shared" si="84"/>
        <v>#DIV/0!</v>
      </c>
      <c r="AP89" s="176" t="e">
        <f t="shared" si="85"/>
        <v>#DIV/0!</v>
      </c>
      <c r="AQ89" s="176" t="e">
        <f t="shared" si="86"/>
        <v>#DIV/0!</v>
      </c>
      <c r="AR89" s="176" t="e">
        <f t="shared" si="87"/>
        <v>#DIV/0!</v>
      </c>
      <c r="AS89" s="176" t="e">
        <f t="shared" si="88"/>
        <v>#DIV/0!</v>
      </c>
      <c r="AT89" s="176" t="e">
        <f t="shared" si="89"/>
        <v>#DIV/0!</v>
      </c>
      <c r="AU89" s="176">
        <f t="shared" si="90"/>
        <v>1</v>
      </c>
      <c r="AV89" s="176">
        <f t="shared" si="91"/>
        <v>1</v>
      </c>
    </row>
    <row r="90" spans="1:48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102"/>
        <v>6666666.666666667</v>
      </c>
      <c r="P90" s="21">
        <f t="shared" si="112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61">
        <v>0</v>
      </c>
      <c r="X90" s="21"/>
      <c r="Y90" s="21"/>
      <c r="Z90" s="21"/>
      <c r="AA90" s="21"/>
      <c r="AB90" s="21"/>
      <c r="AC90" s="21"/>
      <c r="AD90" s="21"/>
      <c r="AE90" s="21"/>
      <c r="AF90" s="261">
        <f t="shared" si="92"/>
        <v>1788000</v>
      </c>
      <c r="AG90" s="21">
        <f t="shared" si="93"/>
        <v>1788000</v>
      </c>
      <c r="AI90" s="176">
        <f t="shared" si="94"/>
        <v>0.16000000000000003</v>
      </c>
      <c r="AJ90" s="176">
        <f t="shared" si="79"/>
        <v>0.83199999999999996</v>
      </c>
      <c r="AK90" s="176">
        <f t="shared" si="80"/>
        <v>0.93520000000000003</v>
      </c>
      <c r="AL90" s="176">
        <f t="shared" si="81"/>
        <v>1</v>
      </c>
      <c r="AM90" s="176">
        <f t="shared" si="82"/>
        <v>1</v>
      </c>
      <c r="AN90" s="176">
        <f t="shared" si="83"/>
        <v>1</v>
      </c>
      <c r="AO90" s="176">
        <f t="shared" si="84"/>
        <v>1</v>
      </c>
      <c r="AP90" s="176">
        <f t="shared" si="85"/>
        <v>1</v>
      </c>
      <c r="AQ90" s="176">
        <f t="shared" si="86"/>
        <v>1</v>
      </c>
      <c r="AR90" s="176">
        <f t="shared" si="87"/>
        <v>1</v>
      </c>
      <c r="AS90" s="176">
        <f t="shared" si="88"/>
        <v>1</v>
      </c>
      <c r="AT90" s="176">
        <f t="shared" si="89"/>
        <v>1</v>
      </c>
      <c r="AU90" s="176">
        <f t="shared" si="90"/>
        <v>0.73180000000000001</v>
      </c>
      <c r="AV90" s="176">
        <f t="shared" si="91"/>
        <v>0.94040000000000001</v>
      </c>
    </row>
    <row r="91" spans="1:48" x14ac:dyDescent="0.25">
      <c r="A91" s="7" t="s">
        <v>147</v>
      </c>
      <c r="B91" s="8" t="s">
        <v>148</v>
      </c>
      <c r="C91" s="9">
        <f t="shared" ref="C91:N91" si="115">+C92+C93</f>
        <v>3750000</v>
      </c>
      <c r="D91" s="9">
        <f t="shared" si="115"/>
        <v>3750000</v>
      </c>
      <c r="E91" s="9">
        <f t="shared" si="115"/>
        <v>18750000</v>
      </c>
      <c r="F91" s="9">
        <f t="shared" si="115"/>
        <v>3750000</v>
      </c>
      <c r="G91" s="9">
        <f t="shared" si="115"/>
        <v>3750000</v>
      </c>
      <c r="H91" s="9">
        <f t="shared" si="115"/>
        <v>3750000</v>
      </c>
      <c r="I91" s="9">
        <f t="shared" si="115"/>
        <v>3750000</v>
      </c>
      <c r="J91" s="9">
        <f t="shared" si="115"/>
        <v>3750000</v>
      </c>
      <c r="K91" s="9">
        <f t="shared" si="115"/>
        <v>3750000</v>
      </c>
      <c r="L91" s="9">
        <f t="shared" si="115"/>
        <v>3750000</v>
      </c>
      <c r="M91" s="9">
        <f t="shared" si="115"/>
        <v>3750000</v>
      </c>
      <c r="N91" s="9">
        <f t="shared" si="115"/>
        <v>3750000</v>
      </c>
      <c r="O91" s="9">
        <f t="shared" si="102"/>
        <v>30000000</v>
      </c>
      <c r="P91" s="9">
        <f t="shared" si="112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f t="shared" ref="W91" si="116">+W92+W93</f>
        <v>646250</v>
      </c>
      <c r="X91" s="9"/>
      <c r="Y91" s="9"/>
      <c r="Z91" s="9"/>
      <c r="AA91" s="9"/>
      <c r="AB91" s="9"/>
      <c r="AC91" s="9"/>
      <c r="AD91" s="9"/>
      <c r="AE91" s="9"/>
      <c r="AF91" s="9">
        <f t="shared" si="92"/>
        <v>4946250</v>
      </c>
      <c r="AG91" s="9">
        <f t="shared" si="93"/>
        <v>4946250</v>
      </c>
      <c r="AI91" s="175">
        <f t="shared" si="94"/>
        <v>-0.14666666666666667</v>
      </c>
      <c r="AJ91" s="175">
        <f t="shared" si="79"/>
        <v>1</v>
      </c>
      <c r="AK91" s="175">
        <f t="shared" si="80"/>
        <v>1</v>
      </c>
      <c r="AL91" s="175">
        <f t="shared" si="81"/>
        <v>0.82766666666666666</v>
      </c>
      <c r="AM91" s="175">
        <f t="shared" si="82"/>
        <v>1</v>
      </c>
      <c r="AN91" s="175">
        <f t="shared" si="83"/>
        <v>1</v>
      </c>
      <c r="AO91" s="175">
        <f t="shared" si="84"/>
        <v>1</v>
      </c>
      <c r="AP91" s="175">
        <f t="shared" si="85"/>
        <v>1</v>
      </c>
      <c r="AQ91" s="175">
        <f t="shared" si="86"/>
        <v>1</v>
      </c>
      <c r="AR91" s="175">
        <f t="shared" si="87"/>
        <v>1</v>
      </c>
      <c r="AS91" s="175">
        <f t="shared" si="88"/>
        <v>1</v>
      </c>
      <c r="AT91" s="175">
        <f t="shared" si="89"/>
        <v>1</v>
      </c>
      <c r="AU91" s="175">
        <f t="shared" si="90"/>
        <v>0.83512500000000001</v>
      </c>
      <c r="AV91" s="175">
        <f t="shared" si="91"/>
        <v>0.91756249999999995</v>
      </c>
    </row>
    <row r="92" spans="1:48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102"/>
        <v>10000000</v>
      </c>
      <c r="P92" s="21">
        <f t="shared" si="112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61">
        <v>0</v>
      </c>
      <c r="X92" s="21"/>
      <c r="Y92" s="21"/>
      <c r="Z92" s="21"/>
      <c r="AA92" s="21"/>
      <c r="AB92" s="21"/>
      <c r="AC92" s="21"/>
      <c r="AD92" s="21"/>
      <c r="AE92" s="21"/>
      <c r="AF92" s="261">
        <f t="shared" si="92"/>
        <v>1500000</v>
      </c>
      <c r="AG92" s="21">
        <f t="shared" si="93"/>
        <v>1500000</v>
      </c>
      <c r="AI92" s="176">
        <f t="shared" si="94"/>
        <v>0.4</v>
      </c>
      <c r="AJ92" s="176">
        <f t="shared" si="79"/>
        <v>1</v>
      </c>
      <c r="AK92" s="176">
        <f t="shared" si="80"/>
        <v>1</v>
      </c>
      <c r="AL92" s="176">
        <f t="shared" si="81"/>
        <v>1</v>
      </c>
      <c r="AM92" s="176">
        <f t="shared" si="82"/>
        <v>1</v>
      </c>
      <c r="AN92" s="176">
        <f t="shared" si="83"/>
        <v>1</v>
      </c>
      <c r="AO92" s="176">
        <f t="shared" si="84"/>
        <v>1</v>
      </c>
      <c r="AP92" s="176">
        <f t="shared" si="85"/>
        <v>1</v>
      </c>
      <c r="AQ92" s="176">
        <f t="shared" si="86"/>
        <v>1</v>
      </c>
      <c r="AR92" s="176">
        <f t="shared" si="87"/>
        <v>1</v>
      </c>
      <c r="AS92" s="176">
        <f t="shared" si="88"/>
        <v>1</v>
      </c>
      <c r="AT92" s="176">
        <f t="shared" si="89"/>
        <v>1</v>
      </c>
      <c r="AU92" s="176">
        <f t="shared" si="90"/>
        <v>0.85</v>
      </c>
      <c r="AV92" s="176">
        <f t="shared" si="91"/>
        <v>0.95</v>
      </c>
    </row>
    <row r="93" spans="1:48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102"/>
        <v>20000000</v>
      </c>
      <c r="P93" s="21">
        <f t="shared" si="112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61">
        <v>646250</v>
      </c>
      <c r="X93" s="21"/>
      <c r="Y93" s="21"/>
      <c r="Z93" s="21"/>
      <c r="AA93" s="21"/>
      <c r="AB93" s="21"/>
      <c r="AC93" s="21"/>
      <c r="AD93" s="21"/>
      <c r="AE93" s="21"/>
      <c r="AF93" s="261">
        <f t="shared" si="92"/>
        <v>3446250</v>
      </c>
      <c r="AG93" s="21">
        <f t="shared" si="93"/>
        <v>3446250</v>
      </c>
      <c r="AI93" s="176">
        <f t="shared" si="94"/>
        <v>-1.24</v>
      </c>
      <c r="AJ93" s="176">
        <f t="shared" si="79"/>
        <v>1</v>
      </c>
      <c r="AK93" s="176">
        <f t="shared" si="80"/>
        <v>1</v>
      </c>
      <c r="AL93" s="176">
        <f t="shared" si="81"/>
        <v>0.48299999999999998</v>
      </c>
      <c r="AM93" s="176">
        <f t="shared" si="82"/>
        <v>1</v>
      </c>
      <c r="AN93" s="176">
        <f t="shared" si="83"/>
        <v>1</v>
      </c>
      <c r="AO93" s="176">
        <f t="shared" si="84"/>
        <v>1</v>
      </c>
      <c r="AP93" s="176">
        <f t="shared" si="85"/>
        <v>1</v>
      </c>
      <c r="AQ93" s="176">
        <f t="shared" si="86"/>
        <v>1</v>
      </c>
      <c r="AR93" s="176">
        <f t="shared" si="87"/>
        <v>1</v>
      </c>
      <c r="AS93" s="176">
        <f t="shared" si="88"/>
        <v>1</v>
      </c>
      <c r="AT93" s="176">
        <f t="shared" si="89"/>
        <v>1</v>
      </c>
      <c r="AU93" s="176">
        <f t="shared" si="90"/>
        <v>0.82768750000000002</v>
      </c>
      <c r="AV93" s="176">
        <f t="shared" si="91"/>
        <v>0.88512500000000005</v>
      </c>
    </row>
    <row r="94" spans="1:48" x14ac:dyDescent="0.25">
      <c r="A94" s="7" t="s">
        <v>153</v>
      </c>
      <c r="B94" s="8" t="s">
        <v>154</v>
      </c>
      <c r="C94" s="9">
        <f t="shared" ref="C94:N94" si="117">SUM(C95:C98)</f>
        <v>2450000</v>
      </c>
      <c r="D94" s="9">
        <f t="shared" si="117"/>
        <v>8950000</v>
      </c>
      <c r="E94" s="9">
        <f t="shared" si="117"/>
        <v>2650000</v>
      </c>
      <c r="F94" s="9">
        <f t="shared" si="117"/>
        <v>2450000</v>
      </c>
      <c r="G94" s="9">
        <f t="shared" si="117"/>
        <v>2450000</v>
      </c>
      <c r="H94" s="9">
        <f t="shared" si="117"/>
        <v>2450000</v>
      </c>
      <c r="I94" s="9">
        <f t="shared" si="117"/>
        <v>8450000</v>
      </c>
      <c r="J94" s="9">
        <f t="shared" si="117"/>
        <v>4450000</v>
      </c>
      <c r="K94" s="9">
        <f t="shared" si="117"/>
        <v>2450000</v>
      </c>
      <c r="L94" s="9">
        <f t="shared" si="117"/>
        <v>2450000</v>
      </c>
      <c r="M94" s="9">
        <f t="shared" si="117"/>
        <v>2450000</v>
      </c>
      <c r="N94" s="9">
        <f t="shared" si="117"/>
        <v>2450000</v>
      </c>
      <c r="O94" s="9">
        <f t="shared" si="102"/>
        <v>16500000</v>
      </c>
      <c r="P94" s="9">
        <f t="shared" si="112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f t="shared" ref="W94" si="118">SUM(W95:W98)</f>
        <v>0</v>
      </c>
      <c r="X94" s="9"/>
      <c r="Y94" s="9"/>
      <c r="Z94" s="9"/>
      <c r="AA94" s="9"/>
      <c r="AB94" s="9"/>
      <c r="AC94" s="9"/>
      <c r="AD94" s="9"/>
      <c r="AE94" s="9"/>
      <c r="AF94" s="9">
        <f t="shared" si="92"/>
        <v>4790000</v>
      </c>
      <c r="AG94" s="9">
        <f t="shared" si="93"/>
        <v>4790000</v>
      </c>
      <c r="AI94" s="175">
        <f t="shared" si="94"/>
        <v>-0.73061224489795917</v>
      </c>
      <c r="AJ94" s="175">
        <f t="shared" si="79"/>
        <v>0.96089385474860334</v>
      </c>
      <c r="AK94" s="175">
        <f t="shared" si="80"/>
        <v>0.92452830188679247</v>
      </c>
      <c r="AL94" s="175">
        <f t="shared" si="81"/>
        <v>1</v>
      </c>
      <c r="AM94" s="175">
        <f t="shared" si="82"/>
        <v>1</v>
      </c>
      <c r="AN94" s="175">
        <f t="shared" si="83"/>
        <v>1</v>
      </c>
      <c r="AO94" s="175">
        <f t="shared" si="84"/>
        <v>1</v>
      </c>
      <c r="AP94" s="175">
        <f t="shared" si="85"/>
        <v>1</v>
      </c>
      <c r="AQ94" s="175">
        <f t="shared" si="86"/>
        <v>1</v>
      </c>
      <c r="AR94" s="175">
        <f t="shared" si="87"/>
        <v>1</v>
      </c>
      <c r="AS94" s="175">
        <f t="shared" si="88"/>
        <v>1</v>
      </c>
      <c r="AT94" s="175">
        <f t="shared" si="89"/>
        <v>1</v>
      </c>
      <c r="AU94" s="175">
        <f t="shared" si="90"/>
        <v>0.70969696969696972</v>
      </c>
      <c r="AV94" s="175">
        <f t="shared" si="91"/>
        <v>0.89138321995464853</v>
      </c>
    </row>
    <row r="95" spans="1:48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102"/>
        <v>200000</v>
      </c>
      <c r="P95" s="21">
        <f t="shared" si="112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61">
        <v>0</v>
      </c>
      <c r="X95" s="21"/>
      <c r="Y95" s="21"/>
      <c r="Z95" s="21"/>
      <c r="AA95" s="21"/>
      <c r="AB95" s="21"/>
      <c r="AC95" s="21"/>
      <c r="AD95" s="21"/>
      <c r="AE95" s="21"/>
      <c r="AF95" s="261">
        <f t="shared" si="92"/>
        <v>200000</v>
      </c>
      <c r="AG95" s="21">
        <f t="shared" si="93"/>
        <v>200000</v>
      </c>
      <c r="AI95" s="176" t="e">
        <f t="shared" si="94"/>
        <v>#DIV/0!</v>
      </c>
      <c r="AJ95" s="176" t="e">
        <f t="shared" si="79"/>
        <v>#DIV/0!</v>
      </c>
      <c r="AK95" s="176">
        <f t="shared" si="80"/>
        <v>0</v>
      </c>
      <c r="AL95" s="176" t="e">
        <f t="shared" si="81"/>
        <v>#DIV/0!</v>
      </c>
      <c r="AM95" s="176" t="e">
        <f t="shared" si="82"/>
        <v>#DIV/0!</v>
      </c>
      <c r="AN95" s="176" t="e">
        <f t="shared" si="83"/>
        <v>#DIV/0!</v>
      </c>
      <c r="AO95" s="176" t="e">
        <f t="shared" si="84"/>
        <v>#DIV/0!</v>
      </c>
      <c r="AP95" s="176" t="e">
        <f t="shared" si="85"/>
        <v>#DIV/0!</v>
      </c>
      <c r="AQ95" s="176" t="e">
        <f t="shared" si="86"/>
        <v>#DIV/0!</v>
      </c>
      <c r="AR95" s="176" t="e">
        <f t="shared" si="87"/>
        <v>#DIV/0!</v>
      </c>
      <c r="AS95" s="176" t="e">
        <f t="shared" si="88"/>
        <v>#DIV/0!</v>
      </c>
      <c r="AT95" s="176" t="e">
        <f t="shared" si="89"/>
        <v>#DIV/0!</v>
      </c>
      <c r="AU95" s="176">
        <f t="shared" si="90"/>
        <v>0</v>
      </c>
      <c r="AV95" s="176">
        <f t="shared" si="91"/>
        <v>0</v>
      </c>
    </row>
    <row r="96" spans="1:48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102"/>
        <v>0</v>
      </c>
      <c r="P96" s="21">
        <f t="shared" si="112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61">
        <v>0</v>
      </c>
      <c r="X96" s="21"/>
      <c r="Y96" s="21"/>
      <c r="Z96" s="21"/>
      <c r="AA96" s="21"/>
      <c r="AB96" s="21"/>
      <c r="AC96" s="21"/>
      <c r="AD96" s="21"/>
      <c r="AE96" s="21"/>
      <c r="AF96" s="261">
        <f t="shared" si="92"/>
        <v>0</v>
      </c>
      <c r="AG96" s="21">
        <f t="shared" si="93"/>
        <v>0</v>
      </c>
      <c r="AI96" s="176" t="e">
        <f t="shared" si="94"/>
        <v>#DIV/0!</v>
      </c>
      <c r="AJ96" s="176" t="e">
        <f t="shared" si="79"/>
        <v>#DIV/0!</v>
      </c>
      <c r="AK96" s="176" t="e">
        <f t="shared" si="80"/>
        <v>#DIV/0!</v>
      </c>
      <c r="AL96" s="176" t="e">
        <f t="shared" si="81"/>
        <v>#DIV/0!</v>
      </c>
      <c r="AM96" s="176" t="e">
        <f t="shared" si="82"/>
        <v>#DIV/0!</v>
      </c>
      <c r="AN96" s="176" t="e">
        <f t="shared" si="83"/>
        <v>#DIV/0!</v>
      </c>
      <c r="AO96" s="176" t="e">
        <f t="shared" si="84"/>
        <v>#DIV/0!</v>
      </c>
      <c r="AP96" s="176">
        <f t="shared" si="85"/>
        <v>1</v>
      </c>
      <c r="AQ96" s="176" t="e">
        <f t="shared" si="86"/>
        <v>#DIV/0!</v>
      </c>
      <c r="AR96" s="176" t="e">
        <f t="shared" si="87"/>
        <v>#DIV/0!</v>
      </c>
      <c r="AS96" s="176" t="e">
        <f t="shared" si="88"/>
        <v>#DIV/0!</v>
      </c>
      <c r="AT96" s="176" t="e">
        <f t="shared" si="89"/>
        <v>#DIV/0!</v>
      </c>
      <c r="AU96" s="176" t="e">
        <f t="shared" si="90"/>
        <v>#DIV/0!</v>
      </c>
      <c r="AV96" s="176">
        <f t="shared" si="91"/>
        <v>1</v>
      </c>
    </row>
    <row r="97" spans="1:49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102"/>
        <v>6500000</v>
      </c>
      <c r="P97" s="21">
        <f t="shared" si="112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61">
        <v>0</v>
      </c>
      <c r="X97" s="21"/>
      <c r="Y97" s="21"/>
      <c r="Z97" s="21"/>
      <c r="AA97" s="21"/>
      <c r="AB97" s="21"/>
      <c r="AC97" s="21"/>
      <c r="AD97" s="21"/>
      <c r="AE97" s="21"/>
      <c r="AF97" s="261">
        <f t="shared" si="92"/>
        <v>1000000</v>
      </c>
      <c r="AG97" s="21">
        <f t="shared" si="93"/>
        <v>1000000</v>
      </c>
      <c r="AI97" s="176" t="e">
        <f t="shared" si="94"/>
        <v>#DIV/0!</v>
      </c>
      <c r="AJ97" s="176">
        <f t="shared" si="79"/>
        <v>1</v>
      </c>
      <c r="AK97" s="176" t="e">
        <f t="shared" si="80"/>
        <v>#DIV/0!</v>
      </c>
      <c r="AL97" s="176" t="e">
        <f t="shared" si="81"/>
        <v>#DIV/0!</v>
      </c>
      <c r="AM97" s="176" t="e">
        <f t="shared" si="82"/>
        <v>#DIV/0!</v>
      </c>
      <c r="AN97" s="176" t="e">
        <f t="shared" si="83"/>
        <v>#DIV/0!</v>
      </c>
      <c r="AO97" s="176">
        <f t="shared" si="84"/>
        <v>1</v>
      </c>
      <c r="AP97" s="176" t="e">
        <f t="shared" si="85"/>
        <v>#DIV/0!</v>
      </c>
      <c r="AQ97" s="176" t="e">
        <f t="shared" si="86"/>
        <v>#DIV/0!</v>
      </c>
      <c r="AR97" s="176" t="e">
        <f t="shared" si="87"/>
        <v>#DIV/0!</v>
      </c>
      <c r="AS97" s="176" t="e">
        <f t="shared" si="88"/>
        <v>#DIV/0!</v>
      </c>
      <c r="AT97" s="176" t="e">
        <f t="shared" si="89"/>
        <v>#DIV/0!</v>
      </c>
      <c r="AU97" s="176">
        <f t="shared" si="90"/>
        <v>0.84615384615384615</v>
      </c>
      <c r="AV97" s="176">
        <f t="shared" si="91"/>
        <v>0.92</v>
      </c>
    </row>
    <row r="98" spans="1:49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102"/>
        <v>9800000</v>
      </c>
      <c r="P98" s="21">
        <f t="shared" si="112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61">
        <v>0</v>
      </c>
      <c r="X98" s="21"/>
      <c r="Y98" s="21"/>
      <c r="Z98" s="21"/>
      <c r="AA98" s="21"/>
      <c r="AB98" s="21"/>
      <c r="AC98" s="21"/>
      <c r="AD98" s="21"/>
      <c r="AE98" s="21"/>
      <c r="AF98" s="261">
        <f t="shared" si="92"/>
        <v>3590000</v>
      </c>
      <c r="AG98" s="21">
        <f t="shared" si="93"/>
        <v>3590000</v>
      </c>
      <c r="AI98" s="176">
        <f t="shared" si="94"/>
        <v>-0.32244897959183672</v>
      </c>
      <c r="AJ98" s="176">
        <f t="shared" si="79"/>
        <v>0.8571428571428571</v>
      </c>
      <c r="AK98" s="176">
        <f t="shared" si="80"/>
        <v>1</v>
      </c>
      <c r="AL98" s="176">
        <f t="shared" si="81"/>
        <v>1</v>
      </c>
      <c r="AM98" s="176">
        <f t="shared" si="82"/>
        <v>1</v>
      </c>
      <c r="AN98" s="176">
        <f t="shared" si="83"/>
        <v>1</v>
      </c>
      <c r="AO98" s="176">
        <f t="shared" si="84"/>
        <v>1</v>
      </c>
      <c r="AP98" s="176">
        <f t="shared" si="85"/>
        <v>1</v>
      </c>
      <c r="AQ98" s="176">
        <f t="shared" si="86"/>
        <v>1</v>
      </c>
      <c r="AR98" s="176">
        <f t="shared" si="87"/>
        <v>1</v>
      </c>
      <c r="AS98" s="176">
        <f t="shared" si="88"/>
        <v>1</v>
      </c>
      <c r="AT98" s="176">
        <f t="shared" si="89"/>
        <v>1</v>
      </c>
      <c r="AU98" s="176">
        <f t="shared" si="90"/>
        <v>0.63367346938775515</v>
      </c>
      <c r="AV98" s="176">
        <f t="shared" si="91"/>
        <v>0.87789115646258509</v>
      </c>
    </row>
    <row r="99" spans="1:49" x14ac:dyDescent="0.25">
      <c r="A99" s="7" t="s">
        <v>163</v>
      </c>
      <c r="B99" s="8" t="s">
        <v>164</v>
      </c>
      <c r="C99" s="9">
        <f t="shared" ref="C99:N99" si="119">SUM(C100:C100)</f>
        <v>0</v>
      </c>
      <c r="D99" s="9">
        <f t="shared" si="119"/>
        <v>1000000</v>
      </c>
      <c r="E99" s="9">
        <f t="shared" si="119"/>
        <v>0</v>
      </c>
      <c r="F99" s="9">
        <f t="shared" si="119"/>
        <v>0</v>
      </c>
      <c r="G99" s="9">
        <f t="shared" si="119"/>
        <v>0</v>
      </c>
      <c r="H99" s="9">
        <f t="shared" si="119"/>
        <v>0</v>
      </c>
      <c r="I99" s="9">
        <f t="shared" si="119"/>
        <v>0</v>
      </c>
      <c r="J99" s="9">
        <f t="shared" si="119"/>
        <v>0</v>
      </c>
      <c r="K99" s="9">
        <f t="shared" si="119"/>
        <v>0</v>
      </c>
      <c r="L99" s="9">
        <f t="shared" si="119"/>
        <v>0</v>
      </c>
      <c r="M99" s="9">
        <f t="shared" si="119"/>
        <v>0</v>
      </c>
      <c r="N99" s="9">
        <f t="shared" si="119"/>
        <v>0</v>
      </c>
      <c r="O99" s="9">
        <f t="shared" si="102"/>
        <v>1000000</v>
      </c>
      <c r="P99" s="9">
        <f t="shared" si="112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f t="shared" ref="W99" si="120">+W100</f>
        <v>300000</v>
      </c>
      <c r="X99" s="9"/>
      <c r="Y99" s="9"/>
      <c r="Z99" s="9"/>
      <c r="AA99" s="9"/>
      <c r="AB99" s="9"/>
      <c r="AC99" s="9"/>
      <c r="AD99" s="9"/>
      <c r="AE99" s="9"/>
      <c r="AF99" s="9">
        <f t="shared" si="92"/>
        <v>300000</v>
      </c>
      <c r="AG99" s="9">
        <f t="shared" si="93"/>
        <v>300000</v>
      </c>
      <c r="AI99" s="175" t="e">
        <f t="shared" si="94"/>
        <v>#DIV/0!</v>
      </c>
      <c r="AJ99" s="175">
        <f t="shared" si="79"/>
        <v>1</v>
      </c>
      <c r="AK99" s="175" t="e">
        <f t="shared" si="80"/>
        <v>#DIV/0!</v>
      </c>
      <c r="AL99" s="175" t="e">
        <f t="shared" si="81"/>
        <v>#DIV/0!</v>
      </c>
      <c r="AM99" s="175" t="e">
        <f t="shared" si="82"/>
        <v>#DIV/0!</v>
      </c>
      <c r="AN99" s="175" t="e">
        <f t="shared" si="83"/>
        <v>#DIV/0!</v>
      </c>
      <c r="AO99" s="175" t="e">
        <f t="shared" si="84"/>
        <v>#DIV/0!</v>
      </c>
      <c r="AP99" s="175" t="e">
        <f t="shared" si="85"/>
        <v>#DIV/0!</v>
      </c>
      <c r="AQ99" s="175" t="e">
        <f t="shared" si="86"/>
        <v>#DIV/0!</v>
      </c>
      <c r="AR99" s="175" t="e">
        <f t="shared" si="87"/>
        <v>#DIV/0!</v>
      </c>
      <c r="AS99" s="175" t="e">
        <f t="shared" si="88"/>
        <v>#DIV/0!</v>
      </c>
      <c r="AT99" s="175" t="e">
        <f t="shared" si="89"/>
        <v>#DIV/0!</v>
      </c>
      <c r="AU99" s="175">
        <f t="shared" si="90"/>
        <v>0.7</v>
      </c>
      <c r="AV99" s="175">
        <f t="shared" si="91"/>
        <v>0.7</v>
      </c>
    </row>
    <row r="100" spans="1:49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102"/>
        <v>1000000</v>
      </c>
      <c r="P100" s="21">
        <f t="shared" si="112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61">
        <v>300000</v>
      </c>
      <c r="X100" s="21"/>
      <c r="Y100" s="21"/>
      <c r="Z100" s="21"/>
      <c r="AA100" s="21"/>
      <c r="AB100" s="21"/>
      <c r="AC100" s="21"/>
      <c r="AD100" s="21"/>
      <c r="AE100" s="21"/>
      <c r="AF100" s="261">
        <f t="shared" si="92"/>
        <v>300000</v>
      </c>
      <c r="AG100" s="21">
        <f t="shared" si="93"/>
        <v>300000</v>
      </c>
      <c r="AI100" s="176" t="e">
        <f t="shared" si="94"/>
        <v>#DIV/0!</v>
      </c>
      <c r="AJ100" s="176">
        <f t="shared" si="79"/>
        <v>1</v>
      </c>
      <c r="AK100" s="176" t="e">
        <f t="shared" si="80"/>
        <v>#DIV/0!</v>
      </c>
      <c r="AL100" s="176" t="e">
        <f t="shared" si="81"/>
        <v>#DIV/0!</v>
      </c>
      <c r="AM100" s="176" t="e">
        <f t="shared" si="82"/>
        <v>#DIV/0!</v>
      </c>
      <c r="AN100" s="176" t="e">
        <f t="shared" si="83"/>
        <v>#DIV/0!</v>
      </c>
      <c r="AO100" s="176" t="e">
        <f t="shared" si="84"/>
        <v>#DIV/0!</v>
      </c>
      <c r="AP100" s="176" t="e">
        <f t="shared" si="85"/>
        <v>#DIV/0!</v>
      </c>
      <c r="AQ100" s="176" t="e">
        <f t="shared" si="86"/>
        <v>#DIV/0!</v>
      </c>
      <c r="AR100" s="176" t="e">
        <f t="shared" si="87"/>
        <v>#DIV/0!</v>
      </c>
      <c r="AS100" s="176" t="e">
        <f t="shared" si="88"/>
        <v>#DIV/0!</v>
      </c>
      <c r="AT100" s="176" t="e">
        <f t="shared" si="89"/>
        <v>#DIV/0!</v>
      </c>
      <c r="AU100" s="176">
        <f t="shared" si="90"/>
        <v>0.7</v>
      </c>
      <c r="AV100" s="176">
        <f t="shared" si="91"/>
        <v>0.7</v>
      </c>
    </row>
    <row r="101" spans="1:49" x14ac:dyDescent="0.25">
      <c r="A101" s="7" t="s">
        <v>167</v>
      </c>
      <c r="B101" s="8" t="s">
        <v>168</v>
      </c>
      <c r="C101" s="9">
        <f t="shared" ref="C101:N101" si="121">SUM(C102:C104)</f>
        <v>5000000</v>
      </c>
      <c r="D101" s="9">
        <f t="shared" si="121"/>
        <v>10500000</v>
      </c>
      <c r="E101" s="9">
        <f t="shared" si="121"/>
        <v>7500000</v>
      </c>
      <c r="F101" s="9">
        <f t="shared" si="121"/>
        <v>20000000</v>
      </c>
      <c r="G101" s="9">
        <f t="shared" si="121"/>
        <v>0</v>
      </c>
      <c r="H101" s="9">
        <f t="shared" si="121"/>
        <v>0</v>
      </c>
      <c r="I101" s="9">
        <f t="shared" si="121"/>
        <v>0</v>
      </c>
      <c r="J101" s="9">
        <f t="shared" si="121"/>
        <v>0</v>
      </c>
      <c r="K101" s="9">
        <f t="shared" si="121"/>
        <v>0</v>
      </c>
      <c r="L101" s="9">
        <f t="shared" si="121"/>
        <v>0</v>
      </c>
      <c r="M101" s="9">
        <f t="shared" si="121"/>
        <v>0</v>
      </c>
      <c r="N101" s="9">
        <f t="shared" si="121"/>
        <v>0</v>
      </c>
      <c r="O101" s="9">
        <f t="shared" si="102"/>
        <v>43000000</v>
      </c>
      <c r="P101" s="9">
        <f t="shared" si="112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f t="shared" ref="W101" si="122">SUM(W102:W104)</f>
        <v>0</v>
      </c>
      <c r="X101" s="9"/>
      <c r="Y101" s="9"/>
      <c r="Z101" s="9"/>
      <c r="AA101" s="9"/>
      <c r="AB101" s="9"/>
      <c r="AC101" s="9"/>
      <c r="AD101" s="9"/>
      <c r="AE101" s="9"/>
      <c r="AF101" s="9">
        <f t="shared" si="92"/>
        <v>2411108</v>
      </c>
      <c r="AG101" s="9">
        <f t="shared" si="93"/>
        <v>2411108</v>
      </c>
      <c r="AI101" s="175">
        <f t="shared" si="94"/>
        <v>0.51777839999999997</v>
      </c>
      <c r="AJ101" s="175">
        <f t="shared" si="79"/>
        <v>1</v>
      </c>
      <c r="AK101" s="175">
        <f t="shared" si="80"/>
        <v>1</v>
      </c>
      <c r="AL101" s="175">
        <f t="shared" si="81"/>
        <v>1</v>
      </c>
      <c r="AM101" s="175" t="e">
        <f t="shared" si="82"/>
        <v>#DIV/0!</v>
      </c>
      <c r="AN101" s="175" t="e">
        <f t="shared" si="83"/>
        <v>#DIV/0!</v>
      </c>
      <c r="AO101" s="175" t="e">
        <f t="shared" si="84"/>
        <v>#DIV/0!</v>
      </c>
      <c r="AP101" s="175" t="e">
        <f t="shared" si="85"/>
        <v>#DIV/0!</v>
      </c>
      <c r="AQ101" s="175" t="e">
        <f t="shared" si="86"/>
        <v>#DIV/0!</v>
      </c>
      <c r="AR101" s="175" t="e">
        <f t="shared" si="87"/>
        <v>#DIV/0!</v>
      </c>
      <c r="AS101" s="175" t="e">
        <f t="shared" si="88"/>
        <v>#DIV/0!</v>
      </c>
      <c r="AT101" s="175" t="e">
        <f t="shared" si="89"/>
        <v>#DIV/0!</v>
      </c>
      <c r="AU101" s="175">
        <f t="shared" si="90"/>
        <v>0.94392772093023258</v>
      </c>
      <c r="AV101" s="175">
        <f t="shared" si="91"/>
        <v>0.94392772093023258</v>
      </c>
    </row>
    <row r="102" spans="1:49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102"/>
        <v>20000000</v>
      </c>
      <c r="P102" s="21">
        <f t="shared" si="112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61">
        <v>0</v>
      </c>
      <c r="X102" s="21"/>
      <c r="Y102" s="21"/>
      <c r="Z102" s="21"/>
      <c r="AA102" s="21"/>
      <c r="AB102" s="21"/>
      <c r="AC102" s="21"/>
      <c r="AD102" s="21"/>
      <c r="AE102" s="21"/>
      <c r="AF102" s="261">
        <f t="shared" si="92"/>
        <v>1711108</v>
      </c>
      <c r="AG102" s="21">
        <f t="shared" si="93"/>
        <v>1711108</v>
      </c>
      <c r="AI102" s="176" t="e">
        <f t="shared" si="94"/>
        <v>#DIV/0!</v>
      </c>
      <c r="AJ102" s="176" t="e">
        <f t="shared" si="79"/>
        <v>#DIV/0!</v>
      </c>
      <c r="AK102" s="176" t="e">
        <f t="shared" si="80"/>
        <v>#DIV/0!</v>
      </c>
      <c r="AL102" s="176">
        <f t="shared" si="81"/>
        <v>1</v>
      </c>
      <c r="AM102" s="176" t="e">
        <f t="shared" si="82"/>
        <v>#DIV/0!</v>
      </c>
      <c r="AN102" s="176" t="e">
        <f t="shared" si="83"/>
        <v>#DIV/0!</v>
      </c>
      <c r="AO102" s="176" t="e">
        <f t="shared" si="84"/>
        <v>#DIV/0!</v>
      </c>
      <c r="AP102" s="176" t="e">
        <f t="shared" si="85"/>
        <v>#DIV/0!</v>
      </c>
      <c r="AQ102" s="176" t="e">
        <f t="shared" si="86"/>
        <v>#DIV/0!</v>
      </c>
      <c r="AR102" s="176" t="e">
        <f t="shared" si="87"/>
        <v>#DIV/0!</v>
      </c>
      <c r="AS102" s="176" t="e">
        <f t="shared" si="88"/>
        <v>#DIV/0!</v>
      </c>
      <c r="AT102" s="176" t="e">
        <f t="shared" si="89"/>
        <v>#DIV/0!</v>
      </c>
      <c r="AU102" s="176">
        <f t="shared" si="90"/>
        <v>0.91444460000000005</v>
      </c>
      <c r="AV102" s="176">
        <f t="shared" si="91"/>
        <v>0.91444460000000005</v>
      </c>
    </row>
    <row r="103" spans="1:49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102"/>
        <v>8000000</v>
      </c>
      <c r="P103" s="21">
        <f t="shared" si="112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61">
        <v>0</v>
      </c>
      <c r="X103" s="21"/>
      <c r="Y103" s="21"/>
      <c r="Z103" s="21"/>
      <c r="AA103" s="21"/>
      <c r="AB103" s="21"/>
      <c r="AC103" s="21"/>
      <c r="AD103" s="21"/>
      <c r="AE103" s="21"/>
      <c r="AF103" s="261">
        <f t="shared" si="92"/>
        <v>700000</v>
      </c>
      <c r="AG103" s="21">
        <f t="shared" si="93"/>
        <v>700000</v>
      </c>
      <c r="AI103" s="176">
        <f t="shared" si="94"/>
        <v>0.86</v>
      </c>
      <c r="AJ103" s="176">
        <f t="shared" si="79"/>
        <v>1</v>
      </c>
      <c r="AK103" s="176" t="e">
        <f t="shared" si="80"/>
        <v>#DIV/0!</v>
      </c>
      <c r="AL103" s="176" t="e">
        <f t="shared" si="81"/>
        <v>#DIV/0!</v>
      </c>
      <c r="AM103" s="176" t="e">
        <f t="shared" si="82"/>
        <v>#DIV/0!</v>
      </c>
      <c r="AN103" s="176" t="e">
        <f t="shared" si="83"/>
        <v>#DIV/0!</v>
      </c>
      <c r="AO103" s="176" t="e">
        <f t="shared" si="84"/>
        <v>#DIV/0!</v>
      </c>
      <c r="AP103" s="176" t="e">
        <f t="shared" si="85"/>
        <v>#DIV/0!</v>
      </c>
      <c r="AQ103" s="176" t="e">
        <f t="shared" si="86"/>
        <v>#DIV/0!</v>
      </c>
      <c r="AR103" s="176" t="e">
        <f t="shared" si="87"/>
        <v>#DIV/0!</v>
      </c>
      <c r="AS103" s="176" t="e">
        <f t="shared" si="88"/>
        <v>#DIV/0!</v>
      </c>
      <c r="AT103" s="176" t="e">
        <f t="shared" si="89"/>
        <v>#DIV/0!</v>
      </c>
      <c r="AU103" s="176">
        <f t="shared" si="90"/>
        <v>0.91249999999999998</v>
      </c>
      <c r="AV103" s="176">
        <f t="shared" si="91"/>
        <v>0.91249999999999998</v>
      </c>
    </row>
    <row r="104" spans="1:49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102"/>
        <v>15000000</v>
      </c>
      <c r="P104" s="21">
        <f t="shared" si="112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61">
        <v>0</v>
      </c>
      <c r="X104" s="21"/>
      <c r="Y104" s="21"/>
      <c r="Z104" s="21"/>
      <c r="AA104" s="21"/>
      <c r="AB104" s="21"/>
      <c r="AC104" s="21"/>
      <c r="AD104" s="21"/>
      <c r="AE104" s="21"/>
      <c r="AF104" s="261">
        <f t="shared" si="92"/>
        <v>0</v>
      </c>
      <c r="AG104" s="21">
        <f t="shared" si="93"/>
        <v>0</v>
      </c>
      <c r="AI104" s="176" t="e">
        <f t="shared" si="94"/>
        <v>#DIV/0!</v>
      </c>
      <c r="AJ104" s="176">
        <f t="shared" si="79"/>
        <v>1</v>
      </c>
      <c r="AK104" s="176">
        <f t="shared" si="80"/>
        <v>1</v>
      </c>
      <c r="AL104" s="176" t="e">
        <f t="shared" si="81"/>
        <v>#DIV/0!</v>
      </c>
      <c r="AM104" s="176" t="e">
        <f t="shared" si="82"/>
        <v>#DIV/0!</v>
      </c>
      <c r="AN104" s="176" t="e">
        <f t="shared" si="83"/>
        <v>#DIV/0!</v>
      </c>
      <c r="AO104" s="176" t="e">
        <f t="shared" si="84"/>
        <v>#DIV/0!</v>
      </c>
      <c r="AP104" s="176" t="e">
        <f t="shared" si="85"/>
        <v>#DIV/0!</v>
      </c>
      <c r="AQ104" s="176" t="e">
        <f t="shared" si="86"/>
        <v>#DIV/0!</v>
      </c>
      <c r="AR104" s="176" t="e">
        <f t="shared" si="87"/>
        <v>#DIV/0!</v>
      </c>
      <c r="AS104" s="176" t="e">
        <f t="shared" si="88"/>
        <v>#DIV/0!</v>
      </c>
      <c r="AT104" s="176" t="e">
        <f t="shared" si="89"/>
        <v>#DIV/0!</v>
      </c>
      <c r="AU104" s="176">
        <f t="shared" si="90"/>
        <v>1</v>
      </c>
      <c r="AV104" s="176">
        <f t="shared" si="91"/>
        <v>1</v>
      </c>
    </row>
    <row r="105" spans="1:49" x14ac:dyDescent="0.25">
      <c r="A105" s="7" t="s">
        <v>175</v>
      </c>
      <c r="B105" s="8" t="s">
        <v>176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>
        <f t="shared" si="102"/>
        <v>0</v>
      </c>
      <c r="P105" s="184"/>
      <c r="R105" s="2"/>
      <c r="S105" s="182"/>
      <c r="T105" s="184"/>
      <c r="U105" s="184">
        <v>0</v>
      </c>
      <c r="V105" s="184">
        <v>0</v>
      </c>
      <c r="W105" s="9">
        <f t="shared" ref="W105" si="123">+W106</f>
        <v>0</v>
      </c>
      <c r="X105" s="184"/>
      <c r="Y105" s="184"/>
      <c r="Z105" s="184"/>
      <c r="AA105" s="184"/>
      <c r="AB105" s="184"/>
      <c r="AC105" s="184"/>
      <c r="AD105" s="184"/>
      <c r="AE105" s="184"/>
      <c r="AF105" s="9">
        <f t="shared" si="92"/>
        <v>0</v>
      </c>
      <c r="AG105" s="184">
        <f t="shared" si="93"/>
        <v>0</v>
      </c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81"/>
    </row>
    <row r="106" spans="1:49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102"/>
        <v>1000000</v>
      </c>
      <c r="P106" s="21">
        <f t="shared" si="112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61">
        <v>0</v>
      </c>
      <c r="X106" s="21"/>
      <c r="Y106" s="21"/>
      <c r="Z106" s="21"/>
      <c r="AA106" s="21"/>
      <c r="AB106" s="21"/>
      <c r="AC106" s="21"/>
      <c r="AD106" s="21"/>
      <c r="AE106" s="21"/>
      <c r="AF106" s="261">
        <f t="shared" si="92"/>
        <v>0</v>
      </c>
      <c r="AG106" s="21">
        <f t="shared" si="93"/>
        <v>0</v>
      </c>
      <c r="AI106" s="176">
        <f t="shared" si="94"/>
        <v>1</v>
      </c>
      <c r="AJ106" s="176" t="e">
        <f t="shared" si="79"/>
        <v>#DIV/0!</v>
      </c>
      <c r="AK106" s="176" t="e">
        <f t="shared" si="80"/>
        <v>#DIV/0!</v>
      </c>
      <c r="AL106" s="176" t="e">
        <f t="shared" si="81"/>
        <v>#DIV/0!</v>
      </c>
      <c r="AM106" s="176" t="e">
        <f t="shared" si="82"/>
        <v>#DIV/0!</v>
      </c>
      <c r="AN106" s="176" t="e">
        <f t="shared" si="83"/>
        <v>#DIV/0!</v>
      </c>
      <c r="AO106" s="176" t="e">
        <f t="shared" si="84"/>
        <v>#DIV/0!</v>
      </c>
      <c r="AP106" s="176" t="e">
        <f t="shared" si="85"/>
        <v>#DIV/0!</v>
      </c>
      <c r="AQ106" s="176" t="e">
        <f t="shared" si="86"/>
        <v>#DIV/0!</v>
      </c>
      <c r="AR106" s="176" t="e">
        <f t="shared" si="87"/>
        <v>#DIV/0!</v>
      </c>
      <c r="AS106" s="176" t="e">
        <f t="shared" si="88"/>
        <v>#DIV/0!</v>
      </c>
      <c r="AT106" s="176" t="e">
        <f t="shared" si="89"/>
        <v>#DIV/0!</v>
      </c>
      <c r="AU106" s="176">
        <f t="shared" si="90"/>
        <v>1</v>
      </c>
      <c r="AV106" s="176">
        <f t="shared" si="91"/>
        <v>1</v>
      </c>
    </row>
    <row r="107" spans="1:49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124">+D108</f>
        <v>0</v>
      </c>
      <c r="E107" s="9">
        <f t="shared" si="124"/>
        <v>10000000</v>
      </c>
      <c r="F107" s="9">
        <f t="shared" si="124"/>
        <v>80000000</v>
      </c>
      <c r="G107" s="9">
        <f t="shared" si="124"/>
        <v>0</v>
      </c>
      <c r="H107" s="9">
        <f t="shared" si="124"/>
        <v>0</v>
      </c>
      <c r="I107" s="9">
        <f t="shared" si="124"/>
        <v>0</v>
      </c>
      <c r="J107" s="9">
        <f t="shared" si="124"/>
        <v>0</v>
      </c>
      <c r="K107" s="9">
        <f t="shared" si="124"/>
        <v>0</v>
      </c>
      <c r="L107" s="9">
        <f t="shared" si="124"/>
        <v>0</v>
      </c>
      <c r="M107" s="9">
        <f t="shared" si="124"/>
        <v>0</v>
      </c>
      <c r="N107" s="9">
        <f t="shared" si="124"/>
        <v>0</v>
      </c>
      <c r="O107" s="9">
        <f t="shared" si="102"/>
        <v>90000000</v>
      </c>
      <c r="P107" s="9">
        <f t="shared" si="124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f t="shared" ref="W107" si="125">+W108</f>
        <v>3061613</v>
      </c>
      <c r="X107" s="9"/>
      <c r="Y107" s="9"/>
      <c r="Z107" s="9"/>
      <c r="AA107" s="9"/>
      <c r="AB107" s="9"/>
      <c r="AC107" s="9"/>
      <c r="AD107" s="9"/>
      <c r="AE107" s="9"/>
      <c r="AF107" s="9">
        <f t="shared" si="92"/>
        <v>14662376</v>
      </c>
      <c r="AG107" s="9">
        <f t="shared" si="93"/>
        <v>14662376</v>
      </c>
      <c r="AI107" s="175" t="e">
        <f t="shared" si="94"/>
        <v>#DIV/0!</v>
      </c>
      <c r="AJ107" s="175" t="e">
        <f t="shared" si="79"/>
        <v>#DIV/0!</v>
      </c>
      <c r="AK107" s="175">
        <f t="shared" si="80"/>
        <v>0.99163999999999997</v>
      </c>
      <c r="AL107" s="175">
        <f t="shared" si="81"/>
        <v>0.96172983749999996</v>
      </c>
      <c r="AM107" s="175" t="e">
        <f t="shared" si="82"/>
        <v>#DIV/0!</v>
      </c>
      <c r="AN107" s="175" t="e">
        <f t="shared" si="83"/>
        <v>#DIV/0!</v>
      </c>
      <c r="AO107" s="175" t="e">
        <f t="shared" si="84"/>
        <v>#DIV/0!</v>
      </c>
      <c r="AP107" s="175" t="e">
        <f t="shared" si="85"/>
        <v>#DIV/0!</v>
      </c>
      <c r="AQ107" s="175" t="e">
        <f t="shared" si="86"/>
        <v>#DIV/0!</v>
      </c>
      <c r="AR107" s="175" t="e">
        <f t="shared" si="87"/>
        <v>#DIV/0!</v>
      </c>
      <c r="AS107" s="175" t="e">
        <f t="shared" si="88"/>
        <v>#DIV/0!</v>
      </c>
      <c r="AT107" s="175" t="e">
        <f t="shared" si="89"/>
        <v>#DIV/0!</v>
      </c>
      <c r="AU107" s="175">
        <f t="shared" si="90"/>
        <v>0.83708471111111116</v>
      </c>
      <c r="AV107" s="175">
        <f t="shared" si="91"/>
        <v>0.83708471111111116</v>
      </c>
    </row>
    <row r="108" spans="1:49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126">+D109+D110</f>
        <v>0</v>
      </c>
      <c r="E108" s="9">
        <f t="shared" si="126"/>
        <v>10000000</v>
      </c>
      <c r="F108" s="9">
        <f t="shared" si="126"/>
        <v>80000000</v>
      </c>
      <c r="G108" s="9">
        <f t="shared" si="126"/>
        <v>0</v>
      </c>
      <c r="H108" s="9">
        <f t="shared" si="126"/>
        <v>0</v>
      </c>
      <c r="I108" s="9">
        <f t="shared" si="126"/>
        <v>0</v>
      </c>
      <c r="J108" s="9">
        <f t="shared" si="126"/>
        <v>0</v>
      </c>
      <c r="K108" s="9">
        <f t="shared" si="126"/>
        <v>0</v>
      </c>
      <c r="L108" s="9">
        <f t="shared" si="126"/>
        <v>0</v>
      </c>
      <c r="M108" s="9">
        <f t="shared" si="126"/>
        <v>0</v>
      </c>
      <c r="N108" s="9">
        <f t="shared" si="126"/>
        <v>0</v>
      </c>
      <c r="O108" s="9">
        <f t="shared" si="102"/>
        <v>90000000</v>
      </c>
      <c r="P108" s="9">
        <f t="shared" si="126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f t="shared" ref="W108" si="127">+W109+W110</f>
        <v>3061613</v>
      </c>
      <c r="X108" s="9"/>
      <c r="Y108" s="9"/>
      <c r="Z108" s="9"/>
      <c r="AA108" s="9"/>
      <c r="AB108" s="9"/>
      <c r="AC108" s="9"/>
      <c r="AD108" s="9"/>
      <c r="AE108" s="9"/>
      <c r="AF108" s="9">
        <f t="shared" si="92"/>
        <v>14662376</v>
      </c>
      <c r="AG108" s="9">
        <f t="shared" si="93"/>
        <v>14662376</v>
      </c>
      <c r="AI108" s="175" t="e">
        <f t="shared" si="94"/>
        <v>#DIV/0!</v>
      </c>
      <c r="AJ108" s="175" t="e">
        <f t="shared" si="79"/>
        <v>#DIV/0!</v>
      </c>
      <c r="AK108" s="175">
        <f t="shared" si="80"/>
        <v>0.99163999999999997</v>
      </c>
      <c r="AL108" s="175">
        <f t="shared" si="81"/>
        <v>0.96172983749999996</v>
      </c>
      <c r="AM108" s="175" t="e">
        <f t="shared" si="82"/>
        <v>#DIV/0!</v>
      </c>
      <c r="AN108" s="175" t="e">
        <f t="shared" si="83"/>
        <v>#DIV/0!</v>
      </c>
      <c r="AO108" s="175" t="e">
        <f t="shared" si="84"/>
        <v>#DIV/0!</v>
      </c>
      <c r="AP108" s="175" t="e">
        <f t="shared" si="85"/>
        <v>#DIV/0!</v>
      </c>
      <c r="AQ108" s="175" t="e">
        <f t="shared" si="86"/>
        <v>#DIV/0!</v>
      </c>
      <c r="AR108" s="175" t="e">
        <f t="shared" si="87"/>
        <v>#DIV/0!</v>
      </c>
      <c r="AS108" s="175" t="e">
        <f t="shared" si="88"/>
        <v>#DIV/0!</v>
      </c>
      <c r="AT108" s="175" t="e">
        <f t="shared" si="89"/>
        <v>#DIV/0!</v>
      </c>
      <c r="AU108" s="175">
        <f t="shared" si="90"/>
        <v>0.83708471111111116</v>
      </c>
      <c r="AV108" s="175">
        <f t="shared" si="91"/>
        <v>0.83708471111111116</v>
      </c>
    </row>
    <row r="109" spans="1:49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102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61">
        <v>3061613</v>
      </c>
      <c r="X109" s="21"/>
      <c r="Y109" s="21"/>
      <c r="Z109" s="21"/>
      <c r="AA109" s="21"/>
      <c r="AB109" s="21"/>
      <c r="AC109" s="21"/>
      <c r="AD109" s="21"/>
      <c r="AE109" s="21"/>
      <c r="AF109" s="261">
        <f t="shared" si="92"/>
        <v>14662376</v>
      </c>
      <c r="AG109" s="21">
        <f t="shared" si="93"/>
        <v>14662376</v>
      </c>
      <c r="AI109" s="176" t="e">
        <f t="shared" si="94"/>
        <v>#DIV/0!</v>
      </c>
      <c r="AJ109" s="176" t="e">
        <f t="shared" si="79"/>
        <v>#DIV/0!</v>
      </c>
      <c r="AK109" s="176">
        <f t="shared" si="80"/>
        <v>0.99163999999999997</v>
      </c>
      <c r="AL109" s="176">
        <f t="shared" si="81"/>
        <v>0.92345967500000004</v>
      </c>
      <c r="AM109" s="176" t="e">
        <f t="shared" si="82"/>
        <v>#DIV/0!</v>
      </c>
      <c r="AN109" s="176" t="e">
        <f t="shared" si="83"/>
        <v>#DIV/0!</v>
      </c>
      <c r="AO109" s="176" t="e">
        <f t="shared" si="84"/>
        <v>#DIV/0!</v>
      </c>
      <c r="AP109" s="176" t="e">
        <f t="shared" si="85"/>
        <v>#DIV/0!</v>
      </c>
      <c r="AQ109" s="176" t="e">
        <f t="shared" si="86"/>
        <v>#DIV/0!</v>
      </c>
      <c r="AR109" s="176" t="e">
        <f t="shared" si="87"/>
        <v>#DIV/0!</v>
      </c>
      <c r="AS109" s="176" t="e">
        <f t="shared" si="88"/>
        <v>#DIV/0!</v>
      </c>
      <c r="AT109" s="176" t="e">
        <f t="shared" si="89"/>
        <v>#DIV/0!</v>
      </c>
      <c r="AU109" s="176">
        <f t="shared" si="90"/>
        <v>0.70675248000000002</v>
      </c>
      <c r="AV109" s="176">
        <f t="shared" si="91"/>
        <v>0.70675248000000002</v>
      </c>
    </row>
    <row r="110" spans="1:49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128">+D111</f>
        <v>0</v>
      </c>
      <c r="E110" s="9">
        <f t="shared" si="128"/>
        <v>0</v>
      </c>
      <c r="F110" s="9">
        <f t="shared" si="128"/>
        <v>40000000</v>
      </c>
      <c r="G110" s="9">
        <f t="shared" si="128"/>
        <v>0</v>
      </c>
      <c r="H110" s="9">
        <f t="shared" si="128"/>
        <v>0</v>
      </c>
      <c r="I110" s="9">
        <f t="shared" si="128"/>
        <v>0</v>
      </c>
      <c r="J110" s="9">
        <f t="shared" si="128"/>
        <v>0</v>
      </c>
      <c r="K110" s="9">
        <f t="shared" si="128"/>
        <v>0</v>
      </c>
      <c r="L110" s="9">
        <f t="shared" si="128"/>
        <v>0</v>
      </c>
      <c r="M110" s="9">
        <f t="shared" si="128"/>
        <v>0</v>
      </c>
      <c r="N110" s="9">
        <f t="shared" si="128"/>
        <v>0</v>
      </c>
      <c r="O110" s="9">
        <f t="shared" si="102"/>
        <v>40000000</v>
      </c>
      <c r="P110" s="9">
        <f t="shared" si="128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f t="shared" ref="W110:W111" si="129">+W111</f>
        <v>0</v>
      </c>
      <c r="X110" s="9"/>
      <c r="Y110" s="9"/>
      <c r="Z110" s="9"/>
      <c r="AA110" s="9"/>
      <c r="AB110" s="9"/>
      <c r="AC110" s="9"/>
      <c r="AD110" s="9"/>
      <c r="AE110" s="9"/>
      <c r="AF110" s="9">
        <f t="shared" si="92"/>
        <v>0</v>
      </c>
      <c r="AG110" s="9">
        <f t="shared" si="93"/>
        <v>0</v>
      </c>
      <c r="AI110" s="175" t="e">
        <f t="shared" si="94"/>
        <v>#DIV/0!</v>
      </c>
      <c r="AJ110" s="175" t="e">
        <f t="shared" si="79"/>
        <v>#DIV/0!</v>
      </c>
      <c r="AK110" s="175" t="e">
        <f t="shared" si="80"/>
        <v>#DIV/0!</v>
      </c>
      <c r="AL110" s="175">
        <f t="shared" si="81"/>
        <v>1</v>
      </c>
      <c r="AM110" s="175" t="e">
        <f t="shared" si="82"/>
        <v>#DIV/0!</v>
      </c>
      <c r="AN110" s="175" t="e">
        <f t="shared" si="83"/>
        <v>#DIV/0!</v>
      </c>
      <c r="AO110" s="175" t="e">
        <f t="shared" si="84"/>
        <v>#DIV/0!</v>
      </c>
      <c r="AP110" s="175" t="e">
        <f t="shared" si="85"/>
        <v>#DIV/0!</v>
      </c>
      <c r="AQ110" s="175" t="e">
        <f t="shared" si="86"/>
        <v>#DIV/0!</v>
      </c>
      <c r="AR110" s="175" t="e">
        <f t="shared" si="87"/>
        <v>#DIV/0!</v>
      </c>
      <c r="AS110" s="175" t="e">
        <f t="shared" si="88"/>
        <v>#DIV/0!</v>
      </c>
      <c r="AT110" s="175" t="e">
        <f t="shared" si="89"/>
        <v>#DIV/0!</v>
      </c>
      <c r="AU110" s="175">
        <f t="shared" si="90"/>
        <v>1</v>
      </c>
      <c r="AV110" s="175">
        <f t="shared" si="91"/>
        <v>1</v>
      </c>
    </row>
    <row r="111" spans="1:49" x14ac:dyDescent="0.25">
      <c r="A111" s="7" t="s">
        <v>187</v>
      </c>
      <c r="B111" s="8" t="s">
        <v>188</v>
      </c>
      <c r="C111" s="9">
        <f>+C112</f>
        <v>0</v>
      </c>
      <c r="D111" s="9">
        <f t="shared" si="128"/>
        <v>0</v>
      </c>
      <c r="E111" s="9">
        <f t="shared" si="128"/>
        <v>0</v>
      </c>
      <c r="F111" s="9">
        <f t="shared" si="128"/>
        <v>40000000</v>
      </c>
      <c r="G111" s="9">
        <f t="shared" si="128"/>
        <v>0</v>
      </c>
      <c r="H111" s="9">
        <f t="shared" si="128"/>
        <v>0</v>
      </c>
      <c r="I111" s="9">
        <f t="shared" si="128"/>
        <v>0</v>
      </c>
      <c r="J111" s="9">
        <f t="shared" si="128"/>
        <v>0</v>
      </c>
      <c r="K111" s="9">
        <f t="shared" si="128"/>
        <v>0</v>
      </c>
      <c r="L111" s="9">
        <f t="shared" si="128"/>
        <v>0</v>
      </c>
      <c r="M111" s="9">
        <f t="shared" si="128"/>
        <v>0</v>
      </c>
      <c r="N111" s="9">
        <f t="shared" si="128"/>
        <v>0</v>
      </c>
      <c r="O111" s="9">
        <f t="shared" si="102"/>
        <v>40000000</v>
      </c>
      <c r="P111" s="9">
        <f t="shared" si="128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f t="shared" si="129"/>
        <v>0</v>
      </c>
      <c r="X111" s="9"/>
      <c r="Y111" s="9"/>
      <c r="Z111" s="9"/>
      <c r="AA111" s="9"/>
      <c r="AB111" s="9"/>
      <c r="AC111" s="9"/>
      <c r="AD111" s="9"/>
      <c r="AE111" s="9"/>
      <c r="AF111" s="9">
        <f t="shared" si="92"/>
        <v>0</v>
      </c>
      <c r="AG111" s="9">
        <f t="shared" si="93"/>
        <v>0</v>
      </c>
      <c r="AI111" s="175" t="e">
        <f t="shared" si="94"/>
        <v>#DIV/0!</v>
      </c>
      <c r="AJ111" s="175" t="e">
        <f t="shared" si="79"/>
        <v>#DIV/0!</v>
      </c>
      <c r="AK111" s="175" t="e">
        <f t="shared" si="80"/>
        <v>#DIV/0!</v>
      </c>
      <c r="AL111" s="175">
        <f t="shared" si="81"/>
        <v>1</v>
      </c>
      <c r="AM111" s="175" t="e">
        <f t="shared" si="82"/>
        <v>#DIV/0!</v>
      </c>
      <c r="AN111" s="175" t="e">
        <f t="shared" si="83"/>
        <v>#DIV/0!</v>
      </c>
      <c r="AO111" s="175" t="e">
        <f t="shared" si="84"/>
        <v>#DIV/0!</v>
      </c>
      <c r="AP111" s="175" t="e">
        <f t="shared" si="85"/>
        <v>#DIV/0!</v>
      </c>
      <c r="AQ111" s="175" t="e">
        <f t="shared" si="86"/>
        <v>#DIV/0!</v>
      </c>
      <c r="AR111" s="175" t="e">
        <f t="shared" si="87"/>
        <v>#DIV/0!</v>
      </c>
      <c r="AS111" s="175" t="e">
        <f t="shared" si="88"/>
        <v>#DIV/0!</v>
      </c>
      <c r="AT111" s="175" t="e">
        <f t="shared" si="89"/>
        <v>#DIV/0!</v>
      </c>
      <c r="AU111" s="175">
        <f t="shared" si="90"/>
        <v>1</v>
      </c>
      <c r="AV111" s="175">
        <f t="shared" si="91"/>
        <v>1</v>
      </c>
    </row>
    <row r="112" spans="1:49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102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61">
        <v>0</v>
      </c>
      <c r="X112" s="21"/>
      <c r="Y112" s="21"/>
      <c r="Z112" s="21"/>
      <c r="AA112" s="21"/>
      <c r="AB112" s="21"/>
      <c r="AC112" s="21"/>
      <c r="AD112" s="21"/>
      <c r="AE112" s="21"/>
      <c r="AF112" s="261">
        <f t="shared" si="92"/>
        <v>0</v>
      </c>
      <c r="AG112" s="21">
        <f t="shared" si="93"/>
        <v>0</v>
      </c>
      <c r="AI112" s="176" t="e">
        <f t="shared" si="94"/>
        <v>#DIV/0!</v>
      </c>
      <c r="AJ112" s="176" t="e">
        <f t="shared" si="79"/>
        <v>#DIV/0!</v>
      </c>
      <c r="AK112" s="176" t="e">
        <f t="shared" si="80"/>
        <v>#DIV/0!</v>
      </c>
      <c r="AL112" s="176">
        <f t="shared" si="81"/>
        <v>1</v>
      </c>
      <c r="AM112" s="176" t="e">
        <f t="shared" si="82"/>
        <v>#DIV/0!</v>
      </c>
      <c r="AN112" s="176" t="e">
        <f t="shared" si="83"/>
        <v>#DIV/0!</v>
      </c>
      <c r="AO112" s="176" t="e">
        <f t="shared" si="84"/>
        <v>#DIV/0!</v>
      </c>
      <c r="AP112" s="176" t="e">
        <f t="shared" si="85"/>
        <v>#DIV/0!</v>
      </c>
      <c r="AQ112" s="176" t="e">
        <f t="shared" si="86"/>
        <v>#DIV/0!</v>
      </c>
      <c r="AR112" s="176" t="e">
        <f t="shared" si="87"/>
        <v>#DIV/0!</v>
      </c>
      <c r="AS112" s="176" t="e">
        <f t="shared" si="88"/>
        <v>#DIV/0!</v>
      </c>
      <c r="AT112" s="176" t="e">
        <f t="shared" si="89"/>
        <v>#DIV/0!</v>
      </c>
      <c r="AU112" s="176">
        <f t="shared" si="90"/>
        <v>1</v>
      </c>
      <c r="AV112" s="176">
        <f t="shared" si="91"/>
        <v>1</v>
      </c>
    </row>
    <row r="113" spans="1:48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130">+D114+D204</f>
        <v>2949362878.0024204</v>
      </c>
      <c r="E113" s="6">
        <f t="shared" si="130"/>
        <v>969220096.14072013</v>
      </c>
      <c r="F113" s="6">
        <f t="shared" si="130"/>
        <v>1108144970.1407201</v>
      </c>
      <c r="G113" s="6">
        <f t="shared" si="130"/>
        <v>591588353.14072013</v>
      </c>
      <c r="H113" s="6">
        <f t="shared" si="130"/>
        <v>552615384.95974815</v>
      </c>
      <c r="I113" s="6">
        <f t="shared" si="130"/>
        <v>635843433.07085919</v>
      </c>
      <c r="J113" s="6">
        <f t="shared" si="130"/>
        <v>619658525.95974815</v>
      </c>
      <c r="K113" s="6">
        <f t="shared" si="130"/>
        <v>539277676.95974815</v>
      </c>
      <c r="L113" s="6">
        <f t="shared" si="130"/>
        <v>524737035.95974815</v>
      </c>
      <c r="M113" s="6">
        <f t="shared" si="130"/>
        <v>514276147.05974805</v>
      </c>
      <c r="N113" s="6">
        <f t="shared" si="130"/>
        <v>352678691.06588501</v>
      </c>
      <c r="O113" s="6">
        <f t="shared" si="102"/>
        <v>6117558427.9328823</v>
      </c>
      <c r="P113" s="6">
        <f t="shared" si="130"/>
        <v>10448233676.109087</v>
      </c>
      <c r="R113" s="4" t="s">
        <v>191</v>
      </c>
      <c r="S113" s="5" t="s">
        <v>192</v>
      </c>
      <c r="T113" s="6">
        <f>+T114+T204</f>
        <v>2773472563.21</v>
      </c>
      <c r="U113" s="6">
        <v>377201645.94999999</v>
      </c>
      <c r="V113" s="6">
        <v>598682591.28999996</v>
      </c>
      <c r="W113" s="6">
        <f t="shared" ref="W113" si="131">+W114+W204</f>
        <v>884278648</v>
      </c>
      <c r="X113" s="6"/>
      <c r="Y113" s="6"/>
      <c r="Z113" s="6"/>
      <c r="AA113" s="6"/>
      <c r="AB113" s="6"/>
      <c r="AC113" s="6"/>
      <c r="AD113" s="6"/>
      <c r="AE113" s="6"/>
      <c r="AF113" s="6">
        <f t="shared" si="92"/>
        <v>4633635448.4499998</v>
      </c>
      <c r="AG113" s="6">
        <f t="shared" si="93"/>
        <v>4633635448.4499998</v>
      </c>
      <c r="AI113" s="174">
        <f t="shared" si="94"/>
        <v>-1.5425330560365749</v>
      </c>
      <c r="AJ113" s="174">
        <f t="shared" si="79"/>
        <v>0.87210741385425061</v>
      </c>
      <c r="AK113" s="174">
        <f t="shared" si="80"/>
        <v>0.3823048101521434</v>
      </c>
      <c r="AL113" s="174">
        <f t="shared" si="81"/>
        <v>0.20201898503612933</v>
      </c>
      <c r="AM113" s="174">
        <f t="shared" si="82"/>
        <v>1</v>
      </c>
      <c r="AN113" s="174">
        <f t="shared" si="83"/>
        <v>1</v>
      </c>
      <c r="AO113" s="174">
        <f t="shared" si="84"/>
        <v>1</v>
      </c>
      <c r="AP113" s="174">
        <f t="shared" si="85"/>
        <v>1</v>
      </c>
      <c r="AQ113" s="174">
        <f t="shared" si="86"/>
        <v>1</v>
      </c>
      <c r="AR113" s="174">
        <f t="shared" si="87"/>
        <v>1</v>
      </c>
      <c r="AS113" s="174">
        <f t="shared" si="88"/>
        <v>1</v>
      </c>
      <c r="AT113" s="174">
        <f t="shared" si="89"/>
        <v>1</v>
      </c>
      <c r="AU113" s="174">
        <f t="shared" si="90"/>
        <v>0.24256784744503027</v>
      </c>
      <c r="AV113" s="174">
        <f t="shared" si="91"/>
        <v>0.55651494864196405</v>
      </c>
    </row>
    <row r="114" spans="1:48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132">+D115+D130+D136+D150+D190</f>
        <v>208287217.1111111</v>
      </c>
      <c r="E114" s="6">
        <f t="shared" si="132"/>
        <v>191175756.44444445</v>
      </c>
      <c r="F114" s="6">
        <f t="shared" si="132"/>
        <v>545000621.44444442</v>
      </c>
      <c r="G114" s="6">
        <f t="shared" si="132"/>
        <v>132014110.44444445</v>
      </c>
      <c r="H114" s="6">
        <f t="shared" si="132"/>
        <v>102654110.44444445</v>
      </c>
      <c r="I114" s="6">
        <f t="shared" si="132"/>
        <v>184179221.55555552</v>
      </c>
      <c r="J114" s="6">
        <f t="shared" si="132"/>
        <v>134179112.44444445</v>
      </c>
      <c r="K114" s="6">
        <f t="shared" si="132"/>
        <v>88647031.444444448</v>
      </c>
      <c r="L114" s="6">
        <f t="shared" si="132"/>
        <v>83654112.444444448</v>
      </c>
      <c r="M114" s="6">
        <f t="shared" si="132"/>
        <v>91354113.444444448</v>
      </c>
      <c r="N114" s="6">
        <f t="shared" si="132"/>
        <v>48727666</v>
      </c>
      <c r="O114" s="6">
        <f t="shared" si="102"/>
        <v>1121122372.1111112</v>
      </c>
      <c r="P114" s="6">
        <f t="shared" si="132"/>
        <v>1986531850.3333335</v>
      </c>
      <c r="R114" s="4" t="s">
        <v>193</v>
      </c>
      <c r="S114" s="5" t="s">
        <v>194</v>
      </c>
      <c r="T114" s="6">
        <f>+T115+T130+T136+T150+T190</f>
        <v>437214385</v>
      </c>
      <c r="U114" s="6">
        <v>91635267</v>
      </c>
      <c r="V114" s="6">
        <v>88959867</v>
      </c>
      <c r="W114" s="6">
        <f t="shared" ref="W114" si="133">+W115+W130+W136+W150+W190</f>
        <v>64312244</v>
      </c>
      <c r="X114" s="6"/>
      <c r="Y114" s="6"/>
      <c r="Z114" s="6"/>
      <c r="AA114" s="6"/>
      <c r="AB114" s="6"/>
      <c r="AC114" s="6"/>
      <c r="AD114" s="6"/>
      <c r="AE114" s="6"/>
      <c r="AF114" s="6">
        <f t="shared" si="92"/>
        <v>682121763</v>
      </c>
      <c r="AG114" s="6">
        <f t="shared" si="93"/>
        <v>682121763</v>
      </c>
      <c r="AI114" s="174">
        <f t="shared" si="94"/>
        <v>-1.4749089298009244</v>
      </c>
      <c r="AJ114" s="174">
        <f t="shared" si="79"/>
        <v>0.56005333274428915</v>
      </c>
      <c r="AK114" s="174">
        <f t="shared" si="80"/>
        <v>0.53466972667189794</v>
      </c>
      <c r="AL114" s="174">
        <f t="shared" si="81"/>
        <v>0.88199601712462306</v>
      </c>
      <c r="AM114" s="174">
        <f t="shared" si="82"/>
        <v>1</v>
      </c>
      <c r="AN114" s="174">
        <f t="shared" si="83"/>
        <v>1</v>
      </c>
      <c r="AO114" s="174">
        <f t="shared" si="84"/>
        <v>1</v>
      </c>
      <c r="AP114" s="174">
        <f t="shared" si="85"/>
        <v>1</v>
      </c>
      <c r="AQ114" s="174">
        <f t="shared" si="86"/>
        <v>1</v>
      </c>
      <c r="AR114" s="174">
        <f t="shared" si="87"/>
        <v>1</v>
      </c>
      <c r="AS114" s="174">
        <f t="shared" si="88"/>
        <v>1</v>
      </c>
      <c r="AT114" s="174">
        <f t="shared" si="89"/>
        <v>1</v>
      </c>
      <c r="AU114" s="174">
        <f t="shared" si="90"/>
        <v>0.39157242780238005</v>
      </c>
      <c r="AV114" s="174">
        <f t="shared" si="91"/>
        <v>0.65662681779527354</v>
      </c>
    </row>
    <row r="115" spans="1:48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134">+D116+D120+D128</f>
        <v>7900000</v>
      </c>
      <c r="E115" s="9">
        <f t="shared" si="134"/>
        <v>12000000</v>
      </c>
      <c r="F115" s="9">
        <f t="shared" si="134"/>
        <v>700000</v>
      </c>
      <c r="G115" s="9">
        <f t="shared" si="134"/>
        <v>5000000</v>
      </c>
      <c r="H115" s="9">
        <f t="shared" si="134"/>
        <v>2500000</v>
      </c>
      <c r="I115" s="9">
        <f t="shared" si="134"/>
        <v>10000000</v>
      </c>
      <c r="J115" s="9">
        <f t="shared" si="134"/>
        <v>10000000</v>
      </c>
      <c r="K115" s="9">
        <f t="shared" si="134"/>
        <v>0</v>
      </c>
      <c r="L115" s="9">
        <f t="shared" si="134"/>
        <v>0</v>
      </c>
      <c r="M115" s="9">
        <f t="shared" si="134"/>
        <v>0</v>
      </c>
      <c r="N115" s="9">
        <f t="shared" si="134"/>
        <v>0</v>
      </c>
      <c r="O115" s="9">
        <f t="shared" si="102"/>
        <v>45600000</v>
      </c>
      <c r="P115" s="9">
        <f t="shared" si="134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f t="shared" ref="W115" si="135">+W116+W120+W128</f>
        <v>0</v>
      </c>
      <c r="X115" s="9"/>
      <c r="Y115" s="9"/>
      <c r="Z115" s="9"/>
      <c r="AA115" s="9"/>
      <c r="AB115" s="9"/>
      <c r="AC115" s="9"/>
      <c r="AD115" s="9"/>
      <c r="AE115" s="9"/>
      <c r="AF115" s="9">
        <f t="shared" si="92"/>
        <v>2247000</v>
      </c>
      <c r="AG115" s="9">
        <f t="shared" si="93"/>
        <v>2247000</v>
      </c>
      <c r="AI115" s="175">
        <f t="shared" si="94"/>
        <v>1</v>
      </c>
      <c r="AJ115" s="175">
        <f t="shared" si="79"/>
        <v>0.71556962025316451</v>
      </c>
      <c r="AK115" s="175">
        <f t="shared" si="80"/>
        <v>1</v>
      </c>
      <c r="AL115" s="175">
        <f t="shared" si="81"/>
        <v>1</v>
      </c>
      <c r="AM115" s="175">
        <f t="shared" si="82"/>
        <v>1</v>
      </c>
      <c r="AN115" s="175">
        <f t="shared" si="83"/>
        <v>1</v>
      </c>
      <c r="AO115" s="175">
        <f t="shared" si="84"/>
        <v>1</v>
      </c>
      <c r="AP115" s="175">
        <f t="shared" si="85"/>
        <v>1</v>
      </c>
      <c r="AQ115" s="175" t="e">
        <f t="shared" si="86"/>
        <v>#DIV/0!</v>
      </c>
      <c r="AR115" s="175" t="e">
        <f t="shared" si="87"/>
        <v>#DIV/0!</v>
      </c>
      <c r="AS115" s="175" t="e">
        <f t="shared" si="88"/>
        <v>#DIV/0!</v>
      </c>
      <c r="AT115" s="175" t="e">
        <f t="shared" si="89"/>
        <v>#DIV/0!</v>
      </c>
      <c r="AU115" s="175">
        <f t="shared" si="90"/>
        <v>0.95072368421052633</v>
      </c>
      <c r="AV115" s="175">
        <f t="shared" si="91"/>
        <v>0.96926128590971272</v>
      </c>
    </row>
    <row r="116" spans="1:48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136">SUM(D117:D119)</f>
        <v>400000</v>
      </c>
      <c r="E116" s="9">
        <f t="shared" si="136"/>
        <v>0</v>
      </c>
      <c r="F116" s="9">
        <f t="shared" si="136"/>
        <v>400000</v>
      </c>
      <c r="G116" s="9">
        <f t="shared" si="136"/>
        <v>0</v>
      </c>
      <c r="H116" s="9">
        <f t="shared" si="136"/>
        <v>0</v>
      </c>
      <c r="I116" s="9">
        <f t="shared" si="136"/>
        <v>10000000</v>
      </c>
      <c r="J116" s="9">
        <f t="shared" si="136"/>
        <v>0</v>
      </c>
      <c r="K116" s="9">
        <f t="shared" si="136"/>
        <v>0</v>
      </c>
      <c r="L116" s="9">
        <f t="shared" si="136"/>
        <v>0</v>
      </c>
      <c r="M116" s="9">
        <f t="shared" si="136"/>
        <v>0</v>
      </c>
      <c r="N116" s="9">
        <f t="shared" si="136"/>
        <v>0</v>
      </c>
      <c r="O116" s="9">
        <f t="shared" si="102"/>
        <v>25800000</v>
      </c>
      <c r="P116" s="9">
        <f t="shared" si="136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f t="shared" ref="W116" si="137">+W117+W118+W119</f>
        <v>0</v>
      </c>
      <c r="X116" s="9"/>
      <c r="Y116" s="9"/>
      <c r="Z116" s="9"/>
      <c r="AA116" s="9"/>
      <c r="AB116" s="9"/>
      <c r="AC116" s="9"/>
      <c r="AD116" s="9"/>
      <c r="AE116" s="9"/>
      <c r="AF116" s="9">
        <f t="shared" si="92"/>
        <v>0</v>
      </c>
      <c r="AG116" s="9">
        <f t="shared" si="93"/>
        <v>0</v>
      </c>
      <c r="AI116" s="175">
        <f t="shared" si="94"/>
        <v>1</v>
      </c>
      <c r="AJ116" s="175">
        <f t="shared" si="79"/>
        <v>1</v>
      </c>
      <c r="AK116" s="175" t="e">
        <f t="shared" si="80"/>
        <v>#DIV/0!</v>
      </c>
      <c r="AL116" s="175">
        <f t="shared" si="81"/>
        <v>1</v>
      </c>
      <c r="AM116" s="175" t="e">
        <f t="shared" si="82"/>
        <v>#DIV/0!</v>
      </c>
      <c r="AN116" s="175" t="e">
        <f t="shared" si="83"/>
        <v>#DIV/0!</v>
      </c>
      <c r="AO116" s="175">
        <f t="shared" si="84"/>
        <v>1</v>
      </c>
      <c r="AP116" s="175" t="e">
        <f t="shared" si="85"/>
        <v>#DIV/0!</v>
      </c>
      <c r="AQ116" s="175" t="e">
        <f t="shared" si="86"/>
        <v>#DIV/0!</v>
      </c>
      <c r="AR116" s="175" t="e">
        <f t="shared" si="87"/>
        <v>#DIV/0!</v>
      </c>
      <c r="AS116" s="175" t="e">
        <f t="shared" si="88"/>
        <v>#DIV/0!</v>
      </c>
      <c r="AT116" s="175" t="e">
        <f t="shared" si="89"/>
        <v>#DIV/0!</v>
      </c>
      <c r="AU116" s="175">
        <f t="shared" si="90"/>
        <v>1</v>
      </c>
      <c r="AV116" s="175">
        <f t="shared" si="91"/>
        <v>1</v>
      </c>
    </row>
    <row r="117" spans="1:48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102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61">
        <v>0</v>
      </c>
      <c r="X117" s="21"/>
      <c r="Y117" s="21"/>
      <c r="Z117" s="21"/>
      <c r="AA117" s="21"/>
      <c r="AB117" s="21"/>
      <c r="AC117" s="21"/>
      <c r="AD117" s="21"/>
      <c r="AE117" s="21"/>
      <c r="AF117" s="261">
        <f t="shared" si="92"/>
        <v>0</v>
      </c>
      <c r="AG117" s="21">
        <f t="shared" si="93"/>
        <v>0</v>
      </c>
      <c r="AI117" s="176" t="e">
        <f t="shared" si="94"/>
        <v>#DIV/0!</v>
      </c>
      <c r="AJ117" s="176" t="e">
        <f t="shared" si="79"/>
        <v>#DIV/0!</v>
      </c>
      <c r="AK117" s="176" t="e">
        <f t="shared" si="80"/>
        <v>#DIV/0!</v>
      </c>
      <c r="AL117" s="176">
        <f t="shared" si="81"/>
        <v>1</v>
      </c>
      <c r="AM117" s="176" t="e">
        <f t="shared" si="82"/>
        <v>#DIV/0!</v>
      </c>
      <c r="AN117" s="176" t="e">
        <f t="shared" si="83"/>
        <v>#DIV/0!</v>
      </c>
      <c r="AO117" s="176" t="e">
        <f t="shared" si="84"/>
        <v>#DIV/0!</v>
      </c>
      <c r="AP117" s="176" t="e">
        <f t="shared" si="85"/>
        <v>#DIV/0!</v>
      </c>
      <c r="AQ117" s="176" t="e">
        <f t="shared" si="86"/>
        <v>#DIV/0!</v>
      </c>
      <c r="AR117" s="176" t="e">
        <f t="shared" si="87"/>
        <v>#DIV/0!</v>
      </c>
      <c r="AS117" s="176" t="e">
        <f t="shared" si="88"/>
        <v>#DIV/0!</v>
      </c>
      <c r="AT117" s="176" t="e">
        <f t="shared" si="89"/>
        <v>#DIV/0!</v>
      </c>
      <c r="AU117" s="176">
        <f t="shared" si="90"/>
        <v>1</v>
      </c>
      <c r="AV117" s="176">
        <f t="shared" si="91"/>
        <v>1</v>
      </c>
    </row>
    <row r="118" spans="1:48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102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61">
        <v>0</v>
      </c>
      <c r="X118" s="21"/>
      <c r="Y118" s="21"/>
      <c r="Z118" s="21"/>
      <c r="AA118" s="21"/>
      <c r="AB118" s="21"/>
      <c r="AC118" s="21"/>
      <c r="AD118" s="21"/>
      <c r="AE118" s="21"/>
      <c r="AF118" s="261">
        <f t="shared" si="92"/>
        <v>0</v>
      </c>
      <c r="AG118" s="21">
        <f t="shared" si="93"/>
        <v>0</v>
      </c>
      <c r="AI118" s="176">
        <f t="shared" si="94"/>
        <v>1</v>
      </c>
      <c r="AJ118" s="176" t="e">
        <f t="shared" si="79"/>
        <v>#DIV/0!</v>
      </c>
      <c r="AK118" s="176" t="e">
        <f t="shared" si="80"/>
        <v>#DIV/0!</v>
      </c>
      <c r="AL118" s="176" t="e">
        <f t="shared" si="81"/>
        <v>#DIV/0!</v>
      </c>
      <c r="AM118" s="176" t="e">
        <f t="shared" si="82"/>
        <v>#DIV/0!</v>
      </c>
      <c r="AN118" s="176" t="e">
        <f t="shared" si="83"/>
        <v>#DIV/0!</v>
      </c>
      <c r="AO118" s="176">
        <f t="shared" si="84"/>
        <v>1</v>
      </c>
      <c r="AP118" s="176" t="e">
        <f t="shared" si="85"/>
        <v>#DIV/0!</v>
      </c>
      <c r="AQ118" s="176" t="e">
        <f t="shared" si="86"/>
        <v>#DIV/0!</v>
      </c>
      <c r="AR118" s="176" t="e">
        <f t="shared" si="87"/>
        <v>#DIV/0!</v>
      </c>
      <c r="AS118" s="176" t="e">
        <f t="shared" si="88"/>
        <v>#DIV/0!</v>
      </c>
      <c r="AT118" s="176" t="e">
        <f t="shared" si="89"/>
        <v>#DIV/0!</v>
      </c>
      <c r="AU118" s="176">
        <f t="shared" si="90"/>
        <v>1</v>
      </c>
      <c r="AV118" s="176">
        <f t="shared" si="91"/>
        <v>1</v>
      </c>
    </row>
    <row r="119" spans="1:48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102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61">
        <v>0</v>
      </c>
      <c r="X119" s="21"/>
      <c r="Y119" s="21"/>
      <c r="Z119" s="21"/>
      <c r="AA119" s="21"/>
      <c r="AB119" s="21"/>
      <c r="AC119" s="21"/>
      <c r="AD119" s="21"/>
      <c r="AE119" s="21"/>
      <c r="AF119" s="261">
        <f t="shared" si="92"/>
        <v>0</v>
      </c>
      <c r="AG119" s="21">
        <f t="shared" si="93"/>
        <v>0</v>
      </c>
      <c r="AI119" s="176" t="e">
        <f t="shared" si="94"/>
        <v>#DIV/0!</v>
      </c>
      <c r="AJ119" s="176">
        <f t="shared" si="79"/>
        <v>1</v>
      </c>
      <c r="AK119" s="176" t="e">
        <f t="shared" si="80"/>
        <v>#DIV/0!</v>
      </c>
      <c r="AL119" s="176" t="e">
        <f t="shared" si="81"/>
        <v>#DIV/0!</v>
      </c>
      <c r="AM119" s="176" t="e">
        <f t="shared" si="82"/>
        <v>#DIV/0!</v>
      </c>
      <c r="AN119" s="176" t="e">
        <f t="shared" si="83"/>
        <v>#DIV/0!</v>
      </c>
      <c r="AO119" s="176" t="e">
        <f t="shared" si="84"/>
        <v>#DIV/0!</v>
      </c>
      <c r="AP119" s="176" t="e">
        <f t="shared" si="85"/>
        <v>#DIV/0!</v>
      </c>
      <c r="AQ119" s="176" t="e">
        <f t="shared" si="86"/>
        <v>#DIV/0!</v>
      </c>
      <c r="AR119" s="176" t="e">
        <f t="shared" si="87"/>
        <v>#DIV/0!</v>
      </c>
      <c r="AS119" s="176" t="e">
        <f t="shared" si="88"/>
        <v>#DIV/0!</v>
      </c>
      <c r="AT119" s="176" t="e">
        <f t="shared" si="89"/>
        <v>#DIV/0!</v>
      </c>
      <c r="AU119" s="176">
        <f t="shared" si="90"/>
        <v>1</v>
      </c>
      <c r="AV119" s="176">
        <f t="shared" si="91"/>
        <v>1</v>
      </c>
    </row>
    <row r="120" spans="1:48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138">+D121+D127</f>
        <v>5000000</v>
      </c>
      <c r="E120" s="9">
        <f t="shared" si="138"/>
        <v>12000000</v>
      </c>
      <c r="F120" s="9">
        <f t="shared" si="138"/>
        <v>300000</v>
      </c>
      <c r="G120" s="9">
        <f t="shared" si="138"/>
        <v>5000000</v>
      </c>
      <c r="H120" s="9">
        <f t="shared" si="138"/>
        <v>0</v>
      </c>
      <c r="I120" s="9">
        <f t="shared" si="138"/>
        <v>0</v>
      </c>
      <c r="J120" s="9">
        <f t="shared" si="138"/>
        <v>10000000</v>
      </c>
      <c r="K120" s="9">
        <f t="shared" si="138"/>
        <v>0</v>
      </c>
      <c r="L120" s="9">
        <f t="shared" si="138"/>
        <v>0</v>
      </c>
      <c r="M120" s="9">
        <f t="shared" si="138"/>
        <v>0</v>
      </c>
      <c r="N120" s="9">
        <f t="shared" si="138"/>
        <v>0</v>
      </c>
      <c r="O120" s="9">
        <f t="shared" si="102"/>
        <v>17300000</v>
      </c>
      <c r="P120" s="9">
        <f t="shared" si="138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f t="shared" ref="W120" si="139">+W121+W127</f>
        <v>0</v>
      </c>
      <c r="X120" s="9"/>
      <c r="Y120" s="9"/>
      <c r="Z120" s="9"/>
      <c r="AA120" s="9"/>
      <c r="AB120" s="9"/>
      <c r="AC120" s="9"/>
      <c r="AD120" s="9"/>
      <c r="AE120" s="9"/>
      <c r="AF120" s="9">
        <f t="shared" si="92"/>
        <v>2247000</v>
      </c>
      <c r="AG120" s="9">
        <f t="shared" si="93"/>
        <v>2247000</v>
      </c>
      <c r="AI120" s="175" t="e">
        <f t="shared" si="94"/>
        <v>#DIV/0!</v>
      </c>
      <c r="AJ120" s="175">
        <f t="shared" si="79"/>
        <v>0.55059999999999998</v>
      </c>
      <c r="AK120" s="175">
        <f t="shared" si="80"/>
        <v>1</v>
      </c>
      <c r="AL120" s="175">
        <f t="shared" si="81"/>
        <v>1</v>
      </c>
      <c r="AM120" s="175">
        <f t="shared" si="82"/>
        <v>1</v>
      </c>
      <c r="AN120" s="175" t="e">
        <f t="shared" si="83"/>
        <v>#DIV/0!</v>
      </c>
      <c r="AO120" s="175" t="e">
        <f t="shared" si="84"/>
        <v>#DIV/0!</v>
      </c>
      <c r="AP120" s="175">
        <f t="shared" si="85"/>
        <v>1</v>
      </c>
      <c r="AQ120" s="175" t="e">
        <f t="shared" si="86"/>
        <v>#DIV/0!</v>
      </c>
      <c r="AR120" s="175" t="e">
        <f t="shared" si="87"/>
        <v>#DIV/0!</v>
      </c>
      <c r="AS120" s="175" t="e">
        <f t="shared" si="88"/>
        <v>#DIV/0!</v>
      </c>
      <c r="AT120" s="175" t="e">
        <f t="shared" si="89"/>
        <v>#DIV/0!</v>
      </c>
      <c r="AU120" s="175">
        <f t="shared" si="90"/>
        <v>0.87011560693641621</v>
      </c>
      <c r="AV120" s="175">
        <f t="shared" si="91"/>
        <v>0.93043343653250776</v>
      </c>
    </row>
    <row r="121" spans="1:48" x14ac:dyDescent="0.25">
      <c r="A121" s="7" t="s">
        <v>207</v>
      </c>
      <c r="B121" s="8" t="s">
        <v>208</v>
      </c>
      <c r="C121" s="9">
        <f t="shared" ref="C121:N121" si="140">SUM(C122:C126)</f>
        <v>0</v>
      </c>
      <c r="D121" s="9">
        <f t="shared" si="140"/>
        <v>5000000</v>
      </c>
      <c r="E121" s="9">
        <f t="shared" si="140"/>
        <v>12000000</v>
      </c>
      <c r="F121" s="9">
        <f t="shared" si="140"/>
        <v>0</v>
      </c>
      <c r="G121" s="9">
        <f t="shared" si="140"/>
        <v>5000000</v>
      </c>
      <c r="H121" s="9">
        <f t="shared" si="140"/>
        <v>0</v>
      </c>
      <c r="I121" s="9">
        <f t="shared" si="140"/>
        <v>0</v>
      </c>
      <c r="J121" s="9">
        <f t="shared" si="140"/>
        <v>10000000</v>
      </c>
      <c r="K121" s="9">
        <f t="shared" si="140"/>
        <v>0</v>
      </c>
      <c r="L121" s="9">
        <f t="shared" si="140"/>
        <v>0</v>
      </c>
      <c r="M121" s="9">
        <f t="shared" si="140"/>
        <v>0</v>
      </c>
      <c r="N121" s="9">
        <f t="shared" si="140"/>
        <v>0</v>
      </c>
      <c r="O121" s="9">
        <f t="shared" si="102"/>
        <v>17000000</v>
      </c>
      <c r="P121" s="9">
        <f t="shared" ref="P121:P127" si="141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f t="shared" ref="W121" si="142">SUM(W122:W126)</f>
        <v>0</v>
      </c>
      <c r="X121" s="9"/>
      <c r="Y121" s="9"/>
      <c r="Z121" s="9"/>
      <c r="AA121" s="9"/>
      <c r="AB121" s="9"/>
      <c r="AC121" s="9"/>
      <c r="AD121" s="9"/>
      <c r="AE121" s="9"/>
      <c r="AF121" s="9">
        <f t="shared" si="92"/>
        <v>2247000</v>
      </c>
      <c r="AG121" s="9">
        <f t="shared" si="93"/>
        <v>2247000</v>
      </c>
      <c r="AI121" s="175" t="e">
        <f t="shared" si="94"/>
        <v>#DIV/0!</v>
      </c>
      <c r="AJ121" s="175">
        <f t="shared" si="79"/>
        <v>0.55059999999999998</v>
      </c>
      <c r="AK121" s="175">
        <f t="shared" si="80"/>
        <v>1</v>
      </c>
      <c r="AL121" s="175" t="e">
        <f t="shared" si="81"/>
        <v>#DIV/0!</v>
      </c>
      <c r="AM121" s="175">
        <f t="shared" si="82"/>
        <v>1</v>
      </c>
      <c r="AN121" s="175" t="e">
        <f t="shared" si="83"/>
        <v>#DIV/0!</v>
      </c>
      <c r="AO121" s="175" t="e">
        <f t="shared" si="84"/>
        <v>#DIV/0!</v>
      </c>
      <c r="AP121" s="175">
        <f t="shared" si="85"/>
        <v>1</v>
      </c>
      <c r="AQ121" s="175" t="e">
        <f t="shared" si="86"/>
        <v>#DIV/0!</v>
      </c>
      <c r="AR121" s="175" t="e">
        <f t="shared" si="87"/>
        <v>#DIV/0!</v>
      </c>
      <c r="AS121" s="175" t="e">
        <f t="shared" si="88"/>
        <v>#DIV/0!</v>
      </c>
      <c r="AT121" s="175" t="e">
        <f t="shared" si="89"/>
        <v>#DIV/0!</v>
      </c>
      <c r="AU121" s="175">
        <f t="shared" si="90"/>
        <v>0.86782352941176466</v>
      </c>
      <c r="AV121" s="175">
        <f t="shared" si="91"/>
        <v>0.92978125</v>
      </c>
    </row>
    <row r="122" spans="1:48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102"/>
        <v>10000000</v>
      </c>
      <c r="P122" s="21">
        <f t="shared" si="141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61">
        <v>0</v>
      </c>
      <c r="X122" s="21"/>
      <c r="Y122" s="21"/>
      <c r="Z122" s="21"/>
      <c r="AA122" s="21"/>
      <c r="AB122" s="21"/>
      <c r="AC122" s="21"/>
      <c r="AD122" s="21"/>
      <c r="AE122" s="21"/>
      <c r="AF122" s="261">
        <f t="shared" si="92"/>
        <v>2247000</v>
      </c>
      <c r="AG122" s="21">
        <f t="shared" si="93"/>
        <v>2247000</v>
      </c>
      <c r="AI122" s="176" t="e">
        <f t="shared" si="94"/>
        <v>#DIV/0!</v>
      </c>
      <c r="AJ122" s="176" t="e">
        <f t="shared" si="79"/>
        <v>#DIV/0!</v>
      </c>
      <c r="AK122" s="176">
        <f t="shared" si="80"/>
        <v>1</v>
      </c>
      <c r="AL122" s="176" t="e">
        <f t="shared" si="81"/>
        <v>#DIV/0!</v>
      </c>
      <c r="AM122" s="176" t="e">
        <f t="shared" si="82"/>
        <v>#DIV/0!</v>
      </c>
      <c r="AN122" s="176" t="e">
        <f t="shared" si="83"/>
        <v>#DIV/0!</v>
      </c>
      <c r="AO122" s="176" t="e">
        <f t="shared" si="84"/>
        <v>#DIV/0!</v>
      </c>
      <c r="AP122" s="176" t="e">
        <f t="shared" si="85"/>
        <v>#DIV/0!</v>
      </c>
      <c r="AQ122" s="176" t="e">
        <f t="shared" si="86"/>
        <v>#DIV/0!</v>
      </c>
      <c r="AR122" s="176" t="e">
        <f t="shared" si="87"/>
        <v>#DIV/0!</v>
      </c>
      <c r="AS122" s="176" t="e">
        <f t="shared" si="88"/>
        <v>#DIV/0!</v>
      </c>
      <c r="AT122" s="176" t="e">
        <f t="shared" si="89"/>
        <v>#DIV/0!</v>
      </c>
      <c r="AU122" s="176">
        <f t="shared" si="90"/>
        <v>0.77529999999999999</v>
      </c>
      <c r="AV122" s="176">
        <f t="shared" si="91"/>
        <v>0.77529999999999999</v>
      </c>
    </row>
    <row r="123" spans="1:48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102"/>
        <v>2000000</v>
      </c>
      <c r="P123" s="21">
        <f t="shared" si="141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61">
        <v>0</v>
      </c>
      <c r="X123" s="21"/>
      <c r="Y123" s="21"/>
      <c r="Z123" s="21"/>
      <c r="AA123" s="21"/>
      <c r="AB123" s="21"/>
      <c r="AC123" s="21"/>
      <c r="AD123" s="21"/>
      <c r="AE123" s="21"/>
      <c r="AF123" s="261">
        <f t="shared" si="92"/>
        <v>0</v>
      </c>
      <c r="AG123" s="21">
        <f t="shared" si="93"/>
        <v>0</v>
      </c>
      <c r="AI123" s="176" t="e">
        <f t="shared" si="94"/>
        <v>#DIV/0!</v>
      </c>
      <c r="AJ123" s="176" t="e">
        <f t="shared" si="79"/>
        <v>#DIV/0!</v>
      </c>
      <c r="AK123" s="176">
        <f t="shared" si="80"/>
        <v>1</v>
      </c>
      <c r="AL123" s="176" t="e">
        <f t="shared" si="81"/>
        <v>#DIV/0!</v>
      </c>
      <c r="AM123" s="176" t="e">
        <f t="shared" si="82"/>
        <v>#DIV/0!</v>
      </c>
      <c r="AN123" s="176" t="e">
        <f t="shared" si="83"/>
        <v>#DIV/0!</v>
      </c>
      <c r="AO123" s="176" t="e">
        <f t="shared" si="84"/>
        <v>#DIV/0!</v>
      </c>
      <c r="AP123" s="176" t="e">
        <f t="shared" si="85"/>
        <v>#DIV/0!</v>
      </c>
      <c r="AQ123" s="176" t="e">
        <f t="shared" si="86"/>
        <v>#DIV/0!</v>
      </c>
      <c r="AR123" s="176" t="e">
        <f t="shared" si="87"/>
        <v>#DIV/0!</v>
      </c>
      <c r="AS123" s="176" t="e">
        <f t="shared" si="88"/>
        <v>#DIV/0!</v>
      </c>
      <c r="AT123" s="176" t="e">
        <f t="shared" si="89"/>
        <v>#DIV/0!</v>
      </c>
      <c r="AU123" s="176">
        <f t="shared" si="90"/>
        <v>1</v>
      </c>
      <c r="AV123" s="176">
        <f t="shared" si="91"/>
        <v>1</v>
      </c>
    </row>
    <row r="124" spans="1:48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102"/>
        <v>0</v>
      </c>
      <c r="P124" s="21">
        <f t="shared" si="141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61">
        <v>0</v>
      </c>
      <c r="X124" s="21"/>
      <c r="Y124" s="21"/>
      <c r="Z124" s="21"/>
      <c r="AA124" s="21"/>
      <c r="AB124" s="21"/>
      <c r="AC124" s="21"/>
      <c r="AD124" s="21"/>
      <c r="AE124" s="21"/>
      <c r="AF124" s="261">
        <f t="shared" si="92"/>
        <v>0</v>
      </c>
      <c r="AG124" s="21">
        <f t="shared" si="93"/>
        <v>0</v>
      </c>
      <c r="AI124" s="176" t="e">
        <f t="shared" si="94"/>
        <v>#DIV/0!</v>
      </c>
      <c r="AJ124" s="176" t="e">
        <f t="shared" si="79"/>
        <v>#DIV/0!</v>
      </c>
      <c r="AK124" s="176" t="e">
        <f t="shared" si="80"/>
        <v>#DIV/0!</v>
      </c>
      <c r="AL124" s="176" t="e">
        <f t="shared" si="81"/>
        <v>#DIV/0!</v>
      </c>
      <c r="AM124" s="176">
        <f t="shared" si="82"/>
        <v>1</v>
      </c>
      <c r="AN124" s="176" t="e">
        <f t="shared" si="83"/>
        <v>#DIV/0!</v>
      </c>
      <c r="AO124" s="176" t="e">
        <f t="shared" si="84"/>
        <v>#DIV/0!</v>
      </c>
      <c r="AP124" s="176" t="e">
        <f t="shared" si="85"/>
        <v>#DIV/0!</v>
      </c>
      <c r="AQ124" s="176" t="e">
        <f t="shared" si="86"/>
        <v>#DIV/0!</v>
      </c>
      <c r="AR124" s="176" t="e">
        <f t="shared" si="87"/>
        <v>#DIV/0!</v>
      </c>
      <c r="AS124" s="176" t="e">
        <f t="shared" si="88"/>
        <v>#DIV/0!</v>
      </c>
      <c r="AT124" s="176" t="e">
        <f t="shared" si="89"/>
        <v>#DIV/0!</v>
      </c>
      <c r="AU124" s="176" t="e">
        <f t="shared" si="90"/>
        <v>#DIV/0!</v>
      </c>
      <c r="AV124" s="176">
        <f t="shared" si="91"/>
        <v>1</v>
      </c>
    </row>
    <row r="125" spans="1:48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102"/>
        <v>0</v>
      </c>
      <c r="P125" s="21">
        <f t="shared" si="141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61">
        <v>0</v>
      </c>
      <c r="X125" s="21"/>
      <c r="Y125" s="21"/>
      <c r="Z125" s="21"/>
      <c r="AA125" s="21"/>
      <c r="AB125" s="21"/>
      <c r="AC125" s="21"/>
      <c r="AD125" s="21"/>
      <c r="AE125" s="21"/>
      <c r="AF125" s="261">
        <f t="shared" si="92"/>
        <v>0</v>
      </c>
      <c r="AG125" s="21">
        <f t="shared" si="93"/>
        <v>0</v>
      </c>
      <c r="AI125" s="176" t="e">
        <f t="shared" si="94"/>
        <v>#DIV/0!</v>
      </c>
      <c r="AJ125" s="176" t="e">
        <f t="shared" si="79"/>
        <v>#DIV/0!</v>
      </c>
      <c r="AK125" s="176" t="e">
        <f t="shared" si="80"/>
        <v>#DIV/0!</v>
      </c>
      <c r="AL125" s="176" t="e">
        <f t="shared" si="81"/>
        <v>#DIV/0!</v>
      </c>
      <c r="AM125" s="176" t="e">
        <f t="shared" si="82"/>
        <v>#DIV/0!</v>
      </c>
      <c r="AN125" s="176" t="e">
        <f t="shared" si="83"/>
        <v>#DIV/0!</v>
      </c>
      <c r="AO125" s="176" t="e">
        <f t="shared" si="84"/>
        <v>#DIV/0!</v>
      </c>
      <c r="AP125" s="176">
        <f t="shared" si="85"/>
        <v>1</v>
      </c>
      <c r="AQ125" s="176" t="e">
        <f t="shared" si="86"/>
        <v>#DIV/0!</v>
      </c>
      <c r="AR125" s="176" t="e">
        <f t="shared" si="87"/>
        <v>#DIV/0!</v>
      </c>
      <c r="AS125" s="176" t="e">
        <f t="shared" si="88"/>
        <v>#DIV/0!</v>
      </c>
      <c r="AT125" s="176" t="e">
        <f t="shared" si="89"/>
        <v>#DIV/0!</v>
      </c>
      <c r="AU125" s="176" t="e">
        <f t="shared" si="90"/>
        <v>#DIV/0!</v>
      </c>
      <c r="AV125" s="176">
        <f t="shared" si="91"/>
        <v>1</v>
      </c>
    </row>
    <row r="126" spans="1:48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102"/>
        <v>5000000</v>
      </c>
      <c r="P126" s="21">
        <f t="shared" si="141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61">
        <v>0</v>
      </c>
      <c r="X126" s="21"/>
      <c r="Y126" s="21"/>
      <c r="Z126" s="21"/>
      <c r="AA126" s="21"/>
      <c r="AB126" s="21"/>
      <c r="AC126" s="21"/>
      <c r="AD126" s="21"/>
      <c r="AE126" s="21"/>
      <c r="AF126" s="261">
        <f t="shared" si="92"/>
        <v>0</v>
      </c>
      <c r="AG126" s="21">
        <f t="shared" si="93"/>
        <v>0</v>
      </c>
      <c r="AI126" s="176" t="e">
        <f t="shared" si="94"/>
        <v>#DIV/0!</v>
      </c>
      <c r="AJ126" s="176">
        <f t="shared" si="79"/>
        <v>1</v>
      </c>
      <c r="AK126" s="176" t="e">
        <f t="shared" si="80"/>
        <v>#DIV/0!</v>
      </c>
      <c r="AL126" s="176" t="e">
        <f t="shared" si="81"/>
        <v>#DIV/0!</v>
      </c>
      <c r="AM126" s="176" t="e">
        <f t="shared" si="82"/>
        <v>#DIV/0!</v>
      </c>
      <c r="AN126" s="176" t="e">
        <f t="shared" si="83"/>
        <v>#DIV/0!</v>
      </c>
      <c r="AO126" s="176" t="e">
        <f t="shared" si="84"/>
        <v>#DIV/0!</v>
      </c>
      <c r="AP126" s="176">
        <f t="shared" si="85"/>
        <v>1</v>
      </c>
      <c r="AQ126" s="176" t="e">
        <f t="shared" si="86"/>
        <v>#DIV/0!</v>
      </c>
      <c r="AR126" s="176" t="e">
        <f t="shared" si="87"/>
        <v>#DIV/0!</v>
      </c>
      <c r="AS126" s="176" t="e">
        <f t="shared" si="88"/>
        <v>#DIV/0!</v>
      </c>
      <c r="AT126" s="176" t="e">
        <f t="shared" si="89"/>
        <v>#DIV/0!</v>
      </c>
      <c r="AU126" s="176">
        <f t="shared" si="90"/>
        <v>1</v>
      </c>
      <c r="AV126" s="176">
        <f t="shared" si="91"/>
        <v>1</v>
      </c>
    </row>
    <row r="127" spans="1:48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102"/>
        <v>300000</v>
      </c>
      <c r="P127" s="21">
        <f t="shared" si="141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61">
        <v>0</v>
      </c>
      <c r="X127" s="21"/>
      <c r="Y127" s="21"/>
      <c r="Z127" s="21"/>
      <c r="AA127" s="21"/>
      <c r="AB127" s="21"/>
      <c r="AC127" s="21"/>
      <c r="AD127" s="21"/>
      <c r="AE127" s="21"/>
      <c r="AF127" s="261">
        <f t="shared" si="92"/>
        <v>0</v>
      </c>
      <c r="AG127" s="21">
        <f t="shared" si="93"/>
        <v>0</v>
      </c>
      <c r="AI127" s="176" t="e">
        <f t="shared" si="94"/>
        <v>#DIV/0!</v>
      </c>
      <c r="AJ127" s="176" t="e">
        <f t="shared" si="79"/>
        <v>#DIV/0!</v>
      </c>
      <c r="AK127" s="176" t="e">
        <f t="shared" si="80"/>
        <v>#DIV/0!</v>
      </c>
      <c r="AL127" s="176">
        <f t="shared" si="81"/>
        <v>1</v>
      </c>
      <c r="AM127" s="176" t="e">
        <f t="shared" si="82"/>
        <v>#DIV/0!</v>
      </c>
      <c r="AN127" s="176" t="e">
        <f t="shared" si="83"/>
        <v>#DIV/0!</v>
      </c>
      <c r="AO127" s="176" t="e">
        <f t="shared" si="84"/>
        <v>#DIV/0!</v>
      </c>
      <c r="AP127" s="176" t="e">
        <f t="shared" si="85"/>
        <v>#DIV/0!</v>
      </c>
      <c r="AQ127" s="176" t="e">
        <f t="shared" si="86"/>
        <v>#DIV/0!</v>
      </c>
      <c r="AR127" s="176" t="e">
        <f t="shared" si="87"/>
        <v>#DIV/0!</v>
      </c>
      <c r="AS127" s="176" t="e">
        <f t="shared" si="88"/>
        <v>#DIV/0!</v>
      </c>
      <c r="AT127" s="176" t="e">
        <f t="shared" si="89"/>
        <v>#DIV/0!</v>
      </c>
      <c r="AU127" s="176">
        <f t="shared" si="90"/>
        <v>1</v>
      </c>
      <c r="AV127" s="176">
        <f t="shared" si="91"/>
        <v>1</v>
      </c>
    </row>
    <row r="128" spans="1:48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143">+D129</f>
        <v>2500000</v>
      </c>
      <c r="E128" s="9">
        <f t="shared" si="143"/>
        <v>0</v>
      </c>
      <c r="F128" s="9">
        <f t="shared" si="143"/>
        <v>0</v>
      </c>
      <c r="G128" s="9">
        <f t="shared" si="143"/>
        <v>0</v>
      </c>
      <c r="H128" s="9">
        <f t="shared" si="143"/>
        <v>2500000</v>
      </c>
      <c r="I128" s="9">
        <f t="shared" si="143"/>
        <v>0</v>
      </c>
      <c r="J128" s="9">
        <f t="shared" si="143"/>
        <v>0</v>
      </c>
      <c r="K128" s="9">
        <f t="shared" si="143"/>
        <v>0</v>
      </c>
      <c r="L128" s="9">
        <f t="shared" si="143"/>
        <v>0</v>
      </c>
      <c r="M128" s="9">
        <f t="shared" si="143"/>
        <v>0</v>
      </c>
      <c r="N128" s="9">
        <f t="shared" si="143"/>
        <v>0</v>
      </c>
      <c r="O128" s="9">
        <f t="shared" si="102"/>
        <v>2500000</v>
      </c>
      <c r="P128" s="9">
        <f t="shared" si="143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f t="shared" ref="W128" si="144">+W129</f>
        <v>0</v>
      </c>
      <c r="X128" s="9"/>
      <c r="Y128" s="9"/>
      <c r="Z128" s="9"/>
      <c r="AA128" s="9"/>
      <c r="AB128" s="9"/>
      <c r="AC128" s="9"/>
      <c r="AD128" s="9"/>
      <c r="AE128" s="9"/>
      <c r="AF128" s="9">
        <f t="shared" si="92"/>
        <v>0</v>
      </c>
      <c r="AG128" s="9">
        <f t="shared" si="93"/>
        <v>0</v>
      </c>
      <c r="AI128" s="175" t="e">
        <f t="shared" si="94"/>
        <v>#DIV/0!</v>
      </c>
      <c r="AJ128" s="175">
        <f t="shared" si="79"/>
        <v>1</v>
      </c>
      <c r="AK128" s="175" t="e">
        <f t="shared" si="80"/>
        <v>#DIV/0!</v>
      </c>
      <c r="AL128" s="175" t="e">
        <f t="shared" si="81"/>
        <v>#DIV/0!</v>
      </c>
      <c r="AM128" s="175" t="e">
        <f t="shared" si="82"/>
        <v>#DIV/0!</v>
      </c>
      <c r="AN128" s="175">
        <f t="shared" si="83"/>
        <v>1</v>
      </c>
      <c r="AO128" s="175" t="e">
        <f t="shared" si="84"/>
        <v>#DIV/0!</v>
      </c>
      <c r="AP128" s="175" t="e">
        <f t="shared" si="85"/>
        <v>#DIV/0!</v>
      </c>
      <c r="AQ128" s="175" t="e">
        <f t="shared" si="86"/>
        <v>#DIV/0!</v>
      </c>
      <c r="AR128" s="175" t="e">
        <f t="shared" si="87"/>
        <v>#DIV/0!</v>
      </c>
      <c r="AS128" s="175" t="e">
        <f t="shared" si="88"/>
        <v>#DIV/0!</v>
      </c>
      <c r="AT128" s="175" t="e">
        <f t="shared" si="89"/>
        <v>#DIV/0!</v>
      </c>
      <c r="AU128" s="175">
        <f t="shared" si="90"/>
        <v>1</v>
      </c>
      <c r="AV128" s="175">
        <f t="shared" si="91"/>
        <v>1</v>
      </c>
    </row>
    <row r="129" spans="1:48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102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61">
        <v>0</v>
      </c>
      <c r="X129" s="21"/>
      <c r="Y129" s="21"/>
      <c r="Z129" s="21"/>
      <c r="AA129" s="21"/>
      <c r="AB129" s="21"/>
      <c r="AC129" s="21"/>
      <c r="AD129" s="21"/>
      <c r="AE129" s="21"/>
      <c r="AF129" s="261">
        <f t="shared" si="92"/>
        <v>0</v>
      </c>
      <c r="AG129" s="21">
        <f t="shared" si="93"/>
        <v>0</v>
      </c>
      <c r="AI129" s="176" t="e">
        <f t="shared" si="94"/>
        <v>#DIV/0!</v>
      </c>
      <c r="AJ129" s="176">
        <f t="shared" si="79"/>
        <v>1</v>
      </c>
      <c r="AK129" s="176" t="e">
        <f t="shared" si="80"/>
        <v>#DIV/0!</v>
      </c>
      <c r="AL129" s="176" t="e">
        <f t="shared" si="81"/>
        <v>#DIV/0!</v>
      </c>
      <c r="AM129" s="176" t="e">
        <f t="shared" si="82"/>
        <v>#DIV/0!</v>
      </c>
      <c r="AN129" s="176">
        <f t="shared" si="83"/>
        <v>1</v>
      </c>
      <c r="AO129" s="176" t="e">
        <f t="shared" si="84"/>
        <v>#DIV/0!</v>
      </c>
      <c r="AP129" s="176" t="e">
        <f t="shared" si="85"/>
        <v>#DIV/0!</v>
      </c>
      <c r="AQ129" s="176" t="e">
        <f t="shared" si="86"/>
        <v>#DIV/0!</v>
      </c>
      <c r="AR129" s="176" t="e">
        <f t="shared" si="87"/>
        <v>#DIV/0!</v>
      </c>
      <c r="AS129" s="176" t="e">
        <f t="shared" si="88"/>
        <v>#DIV/0!</v>
      </c>
      <c r="AT129" s="176" t="e">
        <f t="shared" si="89"/>
        <v>#DIV/0!</v>
      </c>
      <c r="AU129" s="176">
        <f t="shared" si="90"/>
        <v>1</v>
      </c>
      <c r="AV129" s="176">
        <f t="shared" si="91"/>
        <v>1</v>
      </c>
    </row>
    <row r="130" spans="1:48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145">+D131+D132+D133+D135</f>
        <v>3400000</v>
      </c>
      <c r="E130" s="9">
        <f t="shared" si="145"/>
        <v>1400000</v>
      </c>
      <c r="F130" s="9">
        <f t="shared" si="145"/>
        <v>7700000</v>
      </c>
      <c r="G130" s="9">
        <f t="shared" si="145"/>
        <v>2200000</v>
      </c>
      <c r="H130" s="9">
        <f t="shared" si="145"/>
        <v>2200000</v>
      </c>
      <c r="I130" s="9">
        <f t="shared" si="145"/>
        <v>1400000</v>
      </c>
      <c r="J130" s="9">
        <f t="shared" si="145"/>
        <v>7700000</v>
      </c>
      <c r="K130" s="9">
        <f t="shared" si="145"/>
        <v>2200000</v>
      </c>
      <c r="L130" s="9">
        <f t="shared" si="145"/>
        <v>2200000</v>
      </c>
      <c r="M130" s="9">
        <f t="shared" si="145"/>
        <v>6900000</v>
      </c>
      <c r="N130" s="9">
        <f t="shared" si="145"/>
        <v>1400000</v>
      </c>
      <c r="O130" s="9">
        <f t="shared" si="102"/>
        <v>19400000</v>
      </c>
      <c r="P130" s="9">
        <f t="shared" si="145"/>
        <v>45600000</v>
      </c>
      <c r="R130" s="7" t="s">
        <v>225</v>
      </c>
      <c r="S130" s="8" t="s">
        <v>226</v>
      </c>
      <c r="T130" s="9">
        <f>+T131+T132+T133+T135</f>
        <v>9672854</v>
      </c>
      <c r="U130" s="9">
        <v>-2551372</v>
      </c>
      <c r="V130" s="9">
        <v>527798</v>
      </c>
      <c r="W130" s="9">
        <f t="shared" ref="W130" si="146">+W131+W132+W133+W135</f>
        <v>791000</v>
      </c>
      <c r="X130" s="9"/>
      <c r="Y130" s="9"/>
      <c r="Z130" s="9"/>
      <c r="AA130" s="9"/>
      <c r="AB130" s="9"/>
      <c r="AC130" s="9"/>
      <c r="AD130" s="9"/>
      <c r="AE130" s="9"/>
      <c r="AF130" s="9">
        <f t="shared" si="92"/>
        <v>8440280</v>
      </c>
      <c r="AG130" s="9">
        <f t="shared" si="93"/>
        <v>8440280</v>
      </c>
      <c r="AI130" s="175">
        <f t="shared" si="94"/>
        <v>-0.40186289855072466</v>
      </c>
      <c r="AJ130" s="175">
        <f t="shared" si="79"/>
        <v>1.7504035294117648</v>
      </c>
      <c r="AK130" s="175">
        <f t="shared" si="80"/>
        <v>0.62300142857142859</v>
      </c>
      <c r="AL130" s="175">
        <f t="shared" si="81"/>
        <v>0.89727272727272722</v>
      </c>
      <c r="AM130" s="175">
        <f t="shared" si="82"/>
        <v>1</v>
      </c>
      <c r="AN130" s="175">
        <f t="shared" si="83"/>
        <v>1</v>
      </c>
      <c r="AO130" s="175">
        <f t="shared" si="84"/>
        <v>1</v>
      </c>
      <c r="AP130" s="175">
        <f t="shared" si="85"/>
        <v>1</v>
      </c>
      <c r="AQ130" s="175">
        <f t="shared" si="86"/>
        <v>1</v>
      </c>
      <c r="AR130" s="175">
        <f t="shared" si="87"/>
        <v>1</v>
      </c>
      <c r="AS130" s="175">
        <f t="shared" si="88"/>
        <v>1</v>
      </c>
      <c r="AT130" s="175">
        <f t="shared" si="89"/>
        <v>1</v>
      </c>
      <c r="AU130" s="175">
        <f t="shared" si="90"/>
        <v>0.56493402061855669</v>
      </c>
      <c r="AV130" s="175">
        <f t="shared" si="91"/>
        <v>0.81490614035087716</v>
      </c>
    </row>
    <row r="131" spans="1:48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102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61">
        <v>0</v>
      </c>
      <c r="X131" s="21"/>
      <c r="Y131" s="21"/>
      <c r="Z131" s="21"/>
      <c r="AA131" s="21"/>
      <c r="AB131" s="21"/>
      <c r="AC131" s="21"/>
      <c r="AD131" s="21"/>
      <c r="AE131" s="21"/>
      <c r="AF131" s="261">
        <f t="shared" si="92"/>
        <v>0</v>
      </c>
      <c r="AG131" s="21">
        <f t="shared" si="93"/>
        <v>0</v>
      </c>
      <c r="AI131" s="176">
        <f t="shared" si="94"/>
        <v>1</v>
      </c>
      <c r="AJ131" s="176">
        <f t="shared" si="79"/>
        <v>1</v>
      </c>
      <c r="AK131" s="176">
        <f t="shared" si="80"/>
        <v>1</v>
      </c>
      <c r="AL131" s="176">
        <f t="shared" si="81"/>
        <v>1</v>
      </c>
      <c r="AM131" s="176">
        <f t="shared" si="82"/>
        <v>1</v>
      </c>
      <c r="AN131" s="176">
        <f t="shared" si="83"/>
        <v>1</v>
      </c>
      <c r="AO131" s="176">
        <f t="shared" si="84"/>
        <v>1</v>
      </c>
      <c r="AP131" s="176">
        <f t="shared" si="85"/>
        <v>1</v>
      </c>
      <c r="AQ131" s="176">
        <f t="shared" si="86"/>
        <v>1</v>
      </c>
      <c r="AR131" s="176">
        <f t="shared" si="87"/>
        <v>1</v>
      </c>
      <c r="AS131" s="176">
        <f t="shared" si="88"/>
        <v>1</v>
      </c>
      <c r="AT131" s="176">
        <f t="shared" si="89"/>
        <v>1</v>
      </c>
      <c r="AU131" s="176">
        <f t="shared" si="90"/>
        <v>1</v>
      </c>
      <c r="AV131" s="176">
        <f t="shared" si="91"/>
        <v>1</v>
      </c>
    </row>
    <row r="132" spans="1:48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102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61">
        <v>0</v>
      </c>
      <c r="X132" s="21"/>
      <c r="Y132" s="21"/>
      <c r="Z132" s="21"/>
      <c r="AA132" s="21"/>
      <c r="AB132" s="21"/>
      <c r="AC132" s="21"/>
      <c r="AD132" s="21"/>
      <c r="AE132" s="21"/>
      <c r="AF132" s="261">
        <f t="shared" si="92"/>
        <v>0</v>
      </c>
      <c r="AG132" s="21">
        <f t="shared" si="93"/>
        <v>0</v>
      </c>
      <c r="AI132" s="176" t="e">
        <f t="shared" si="94"/>
        <v>#DIV/0!</v>
      </c>
      <c r="AJ132" s="176">
        <f t="shared" si="79"/>
        <v>1</v>
      </c>
      <c r="AK132" s="176" t="e">
        <f t="shared" si="80"/>
        <v>#DIV/0!</v>
      </c>
      <c r="AL132" s="176" t="e">
        <f t="shared" si="81"/>
        <v>#DIV/0!</v>
      </c>
      <c r="AM132" s="176" t="e">
        <f t="shared" si="82"/>
        <v>#DIV/0!</v>
      </c>
      <c r="AN132" s="176" t="e">
        <f t="shared" si="83"/>
        <v>#DIV/0!</v>
      </c>
      <c r="AO132" s="176" t="e">
        <f t="shared" si="84"/>
        <v>#DIV/0!</v>
      </c>
      <c r="AP132" s="176" t="e">
        <f t="shared" si="85"/>
        <v>#DIV/0!</v>
      </c>
      <c r="AQ132" s="176" t="e">
        <f t="shared" si="86"/>
        <v>#DIV/0!</v>
      </c>
      <c r="AR132" s="176" t="e">
        <f t="shared" si="87"/>
        <v>#DIV/0!</v>
      </c>
      <c r="AS132" s="176" t="e">
        <f t="shared" si="88"/>
        <v>#DIV/0!</v>
      </c>
      <c r="AT132" s="176" t="e">
        <f t="shared" si="89"/>
        <v>#DIV/0!</v>
      </c>
      <c r="AU132" s="176">
        <f t="shared" si="90"/>
        <v>1</v>
      </c>
      <c r="AV132" s="176">
        <f t="shared" si="91"/>
        <v>1</v>
      </c>
    </row>
    <row r="133" spans="1:48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147">+D134</f>
        <v>400000</v>
      </c>
      <c r="E133" s="9">
        <f t="shared" si="147"/>
        <v>400000</v>
      </c>
      <c r="F133" s="9">
        <f t="shared" si="147"/>
        <v>1200000</v>
      </c>
      <c r="G133" s="9">
        <f t="shared" si="147"/>
        <v>1200000</v>
      </c>
      <c r="H133" s="9">
        <f t="shared" si="147"/>
        <v>1200000</v>
      </c>
      <c r="I133" s="9">
        <f t="shared" si="147"/>
        <v>400000</v>
      </c>
      <c r="J133" s="9">
        <f t="shared" si="147"/>
        <v>1200000</v>
      </c>
      <c r="K133" s="9">
        <f t="shared" si="147"/>
        <v>1200000</v>
      </c>
      <c r="L133" s="9">
        <f t="shared" si="147"/>
        <v>1200000</v>
      </c>
      <c r="M133" s="9">
        <f t="shared" si="147"/>
        <v>400000</v>
      </c>
      <c r="N133" s="9">
        <f t="shared" si="147"/>
        <v>400000</v>
      </c>
      <c r="O133" s="9">
        <f t="shared" si="102"/>
        <v>2400000</v>
      </c>
      <c r="P133" s="9">
        <f t="shared" si="147"/>
        <v>9600000</v>
      </c>
      <c r="R133" s="7" t="s">
        <v>231</v>
      </c>
      <c r="S133" s="8" t="s">
        <v>232</v>
      </c>
      <c r="T133" s="9">
        <f>+T134</f>
        <v>7000000</v>
      </c>
      <c r="U133" s="9">
        <f>+U134</f>
        <v>5958850</v>
      </c>
      <c r="V133" s="9">
        <v>527798</v>
      </c>
      <c r="W133" s="9">
        <f t="shared" ref="W133" si="148">+W134</f>
        <v>791000</v>
      </c>
      <c r="X133" s="9"/>
      <c r="Y133" s="9"/>
      <c r="Z133" s="9"/>
      <c r="AA133" s="9"/>
      <c r="AB133" s="9"/>
      <c r="AC133" s="9"/>
      <c r="AD133" s="9"/>
      <c r="AE133" s="9"/>
      <c r="AF133" s="9">
        <f t="shared" si="92"/>
        <v>14277648</v>
      </c>
      <c r="AG133" s="9">
        <f t="shared" si="93"/>
        <v>14277648</v>
      </c>
      <c r="AI133" s="175">
        <f t="shared" si="94"/>
        <v>-16.5</v>
      </c>
      <c r="AJ133" s="175">
        <f t="shared" si="79"/>
        <v>-13.897125000000001</v>
      </c>
      <c r="AK133" s="175">
        <f t="shared" si="80"/>
        <v>-0.31949499999999997</v>
      </c>
      <c r="AL133" s="175">
        <f t="shared" si="81"/>
        <v>0.34083333333333332</v>
      </c>
      <c r="AM133" s="175">
        <f t="shared" si="82"/>
        <v>1</v>
      </c>
      <c r="AN133" s="175">
        <f t="shared" si="83"/>
        <v>1</v>
      </c>
      <c r="AO133" s="175">
        <f t="shared" si="84"/>
        <v>1</v>
      </c>
      <c r="AP133" s="175">
        <f t="shared" si="85"/>
        <v>1</v>
      </c>
      <c r="AQ133" s="175">
        <f t="shared" si="86"/>
        <v>1</v>
      </c>
      <c r="AR133" s="175">
        <f t="shared" si="87"/>
        <v>1</v>
      </c>
      <c r="AS133" s="175">
        <f t="shared" si="88"/>
        <v>1</v>
      </c>
      <c r="AT133" s="175">
        <f t="shared" si="89"/>
        <v>1</v>
      </c>
      <c r="AU133" s="175">
        <f t="shared" si="90"/>
        <v>-4.94902</v>
      </c>
      <c r="AV133" s="175">
        <f t="shared" si="91"/>
        <v>-0.48725499999999999</v>
      </c>
    </row>
    <row r="134" spans="1:48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102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7000000</v>
      </c>
      <c r="U134" s="21">
        <v>5958850</v>
      </c>
      <c r="V134" s="21">
        <v>527798</v>
      </c>
      <c r="W134" s="261">
        <v>791000</v>
      </c>
      <c r="X134" s="21"/>
      <c r="Y134" s="21"/>
      <c r="Z134" s="21"/>
      <c r="AA134" s="21"/>
      <c r="AB134" s="21"/>
      <c r="AC134" s="21"/>
      <c r="AD134" s="21"/>
      <c r="AE134" s="21"/>
      <c r="AF134" s="261">
        <f t="shared" ref="AF134:AF197" si="149">+T134+U134+V134+W134</f>
        <v>14277648</v>
      </c>
      <c r="AG134" s="21">
        <f t="shared" ref="AG134:AG197" si="150">+T134+U134+V134+W134</f>
        <v>14277648</v>
      </c>
      <c r="AI134" s="176">
        <f t="shared" si="94"/>
        <v>-16.5</v>
      </c>
      <c r="AJ134" s="176">
        <f t="shared" ref="AJ134:AJ197" si="151">(D134-U134)/D134</f>
        <v>-13.897125000000001</v>
      </c>
      <c r="AK134" s="176">
        <f t="shared" ref="AK134:AK197" si="152">(E134-V134)/E134</f>
        <v>-0.31949499999999997</v>
      </c>
      <c r="AL134" s="176">
        <f t="shared" ref="AL134:AL197" si="153">(F134-W134)/F134</f>
        <v>0.34083333333333332</v>
      </c>
      <c r="AM134" s="176">
        <f t="shared" ref="AM134:AM197" si="154">(G134-X134)/G134</f>
        <v>1</v>
      </c>
      <c r="AN134" s="176">
        <f t="shared" ref="AN134:AN197" si="155">(H134-Y134)/H134</f>
        <v>1</v>
      </c>
      <c r="AO134" s="176">
        <f t="shared" ref="AO134:AO197" si="156">(I134-Z134)/I134</f>
        <v>1</v>
      </c>
      <c r="AP134" s="176">
        <f t="shared" ref="AP134:AP197" si="157">(J134-AA134)/J134</f>
        <v>1</v>
      </c>
      <c r="AQ134" s="176">
        <f t="shared" ref="AQ134:AQ197" si="158">(K134-AB134)/K134</f>
        <v>1</v>
      </c>
      <c r="AR134" s="176">
        <f t="shared" ref="AR134:AR197" si="159">(L134-AC134)/L134</f>
        <v>1</v>
      </c>
      <c r="AS134" s="176">
        <f t="shared" ref="AS134:AS197" si="160">(M134-AD134)/M134</f>
        <v>1</v>
      </c>
      <c r="AT134" s="176">
        <f t="shared" ref="AT134:AT197" si="161">(N134-AE134)/N134</f>
        <v>1</v>
      </c>
      <c r="AU134" s="176">
        <f t="shared" ref="AU134:AU197" si="162">(O134-AF134)/O134</f>
        <v>-4.94902</v>
      </c>
      <c r="AV134" s="176">
        <f t="shared" ref="AV134:AV197" si="163">(P134-AG134)/P134</f>
        <v>-0.48725499999999999</v>
      </c>
    </row>
    <row r="135" spans="1:48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102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61">
        <v>0</v>
      </c>
      <c r="X135" s="21"/>
      <c r="Y135" s="21"/>
      <c r="Z135" s="21"/>
      <c r="AA135" s="21"/>
      <c r="AB135" s="21"/>
      <c r="AC135" s="21"/>
      <c r="AD135" s="21"/>
      <c r="AE135" s="21"/>
      <c r="AF135" s="261">
        <f t="shared" si="149"/>
        <v>6080332</v>
      </c>
      <c r="AG135" s="21">
        <f t="shared" si="150"/>
        <v>6080332</v>
      </c>
      <c r="AI135" s="176">
        <f t="shared" ref="AI135:AI198" si="164">(C135-T135)/C135</f>
        <v>0.5140265454545454</v>
      </c>
      <c r="AJ135" s="176" t="e">
        <f t="shared" si="151"/>
        <v>#DIV/0!</v>
      </c>
      <c r="AK135" s="176" t="e">
        <f t="shared" si="152"/>
        <v>#DIV/0!</v>
      </c>
      <c r="AL135" s="176">
        <f t="shared" si="153"/>
        <v>1</v>
      </c>
      <c r="AM135" s="176" t="e">
        <f t="shared" si="154"/>
        <v>#DIV/0!</v>
      </c>
      <c r="AN135" s="176" t="e">
        <f t="shared" si="155"/>
        <v>#DIV/0!</v>
      </c>
      <c r="AO135" s="176" t="e">
        <f t="shared" si="156"/>
        <v>#DIV/0!</v>
      </c>
      <c r="AP135" s="176">
        <f t="shared" si="157"/>
        <v>1</v>
      </c>
      <c r="AQ135" s="176" t="e">
        <f t="shared" si="158"/>
        <v>#DIV/0!</v>
      </c>
      <c r="AR135" s="176" t="e">
        <f t="shared" si="159"/>
        <v>#DIV/0!</v>
      </c>
      <c r="AS135" s="176">
        <f t="shared" si="160"/>
        <v>1</v>
      </c>
      <c r="AT135" s="176" t="e">
        <f t="shared" si="161"/>
        <v>#DIV/0!</v>
      </c>
      <c r="AU135" s="176">
        <f t="shared" si="162"/>
        <v>0.44724254545454545</v>
      </c>
      <c r="AV135" s="176">
        <f t="shared" si="163"/>
        <v>0.72362127272727272</v>
      </c>
    </row>
    <row r="136" spans="1:48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65">+D137+D139+D144+D148+D149</f>
        <v>30716000</v>
      </c>
      <c r="E136" s="9">
        <f t="shared" si="165"/>
        <v>21985400</v>
      </c>
      <c r="F136" s="9">
        <f t="shared" si="165"/>
        <v>340416000</v>
      </c>
      <c r="G136" s="9">
        <f t="shared" si="165"/>
        <v>18116000</v>
      </c>
      <c r="H136" s="9">
        <f t="shared" si="165"/>
        <v>18116000</v>
      </c>
      <c r="I136" s="9">
        <f t="shared" si="165"/>
        <v>28116000</v>
      </c>
      <c r="J136" s="9">
        <f t="shared" si="165"/>
        <v>18116000</v>
      </c>
      <c r="K136" s="9">
        <f t="shared" si="165"/>
        <v>18116000</v>
      </c>
      <c r="L136" s="9">
        <f t="shared" si="165"/>
        <v>18116000</v>
      </c>
      <c r="M136" s="9">
        <f t="shared" si="165"/>
        <v>27116000</v>
      </c>
      <c r="N136" s="9">
        <f t="shared" si="165"/>
        <v>9116000</v>
      </c>
      <c r="O136" s="9">
        <f t="shared" si="102"/>
        <v>411241400</v>
      </c>
      <c r="P136" s="9">
        <f t="shared" si="165"/>
        <v>566169400</v>
      </c>
      <c r="R136" s="7" t="s">
        <v>237</v>
      </c>
      <c r="S136" s="8" t="s">
        <v>238</v>
      </c>
      <c r="T136" s="9">
        <f>+T137+T139+T144+T148+T149</f>
        <v>151883600</v>
      </c>
      <c r="U136" s="9">
        <v>28818183</v>
      </c>
      <c r="V136" s="9">
        <v>32734383</v>
      </c>
      <c r="W136" s="9">
        <f t="shared" ref="W136" si="166">+W137+W139+W144+W148+W149</f>
        <v>33282846</v>
      </c>
      <c r="X136" s="9"/>
      <c r="Y136" s="9"/>
      <c r="Z136" s="9"/>
      <c r="AA136" s="9"/>
      <c r="AB136" s="9"/>
      <c r="AC136" s="9"/>
      <c r="AD136" s="9"/>
      <c r="AE136" s="9"/>
      <c r="AF136" s="9">
        <f t="shared" si="149"/>
        <v>246719012</v>
      </c>
      <c r="AG136" s="9">
        <f t="shared" si="150"/>
        <v>246719012</v>
      </c>
      <c r="AI136" s="175">
        <f t="shared" si="164"/>
        <v>-7.3802471860516441</v>
      </c>
      <c r="AJ136" s="175">
        <f t="shared" si="151"/>
        <v>6.1785942179971354E-2</v>
      </c>
      <c r="AK136" s="175">
        <f t="shared" si="152"/>
        <v>-0.4889145978694952</v>
      </c>
      <c r="AL136" s="175">
        <f t="shared" si="153"/>
        <v>0.902228902284264</v>
      </c>
      <c r="AM136" s="175">
        <f t="shared" si="154"/>
        <v>1</v>
      </c>
      <c r="AN136" s="175">
        <f t="shared" si="155"/>
        <v>1</v>
      </c>
      <c r="AO136" s="175">
        <f t="shared" si="156"/>
        <v>1</v>
      </c>
      <c r="AP136" s="175">
        <f t="shared" si="157"/>
        <v>1</v>
      </c>
      <c r="AQ136" s="175">
        <f t="shared" si="158"/>
        <v>1</v>
      </c>
      <c r="AR136" s="175">
        <f t="shared" si="159"/>
        <v>1</v>
      </c>
      <c r="AS136" s="175">
        <f t="shared" si="160"/>
        <v>1</v>
      </c>
      <c r="AT136" s="175">
        <f t="shared" si="161"/>
        <v>1</v>
      </c>
      <c r="AU136" s="175">
        <f t="shared" si="162"/>
        <v>0.40006280496078461</v>
      </c>
      <c r="AV136" s="175">
        <f t="shared" si="163"/>
        <v>0.56423110821602152</v>
      </c>
    </row>
    <row r="137" spans="1:48" x14ac:dyDescent="0.25">
      <c r="A137" s="7" t="s">
        <v>239</v>
      </c>
      <c r="B137" s="8" t="s">
        <v>240</v>
      </c>
      <c r="C137" s="9">
        <f t="shared" ref="C137:N137" si="167">SUM(C138:C138)</f>
        <v>0</v>
      </c>
      <c r="D137" s="9">
        <f t="shared" si="167"/>
        <v>0</v>
      </c>
      <c r="E137" s="9">
        <f t="shared" si="167"/>
        <v>0</v>
      </c>
      <c r="F137" s="9">
        <f t="shared" si="167"/>
        <v>500000</v>
      </c>
      <c r="G137" s="9">
        <f t="shared" si="167"/>
        <v>0</v>
      </c>
      <c r="H137" s="9">
        <f t="shared" si="167"/>
        <v>0</v>
      </c>
      <c r="I137" s="9">
        <f t="shared" si="167"/>
        <v>0</v>
      </c>
      <c r="J137" s="9">
        <f t="shared" si="167"/>
        <v>0</v>
      </c>
      <c r="K137" s="9">
        <f t="shared" si="167"/>
        <v>0</v>
      </c>
      <c r="L137" s="9">
        <f t="shared" si="167"/>
        <v>0</v>
      </c>
      <c r="M137" s="9">
        <f t="shared" si="167"/>
        <v>0</v>
      </c>
      <c r="N137" s="9">
        <f t="shared" si="167"/>
        <v>0</v>
      </c>
      <c r="O137" s="9">
        <f t="shared" si="102"/>
        <v>500000</v>
      </c>
      <c r="P137" s="9">
        <f t="shared" ref="P137:P143" si="168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f t="shared" ref="W137" si="169">+W138</f>
        <v>0</v>
      </c>
      <c r="X137" s="9"/>
      <c r="Y137" s="9"/>
      <c r="Z137" s="9"/>
      <c r="AA137" s="9"/>
      <c r="AB137" s="9"/>
      <c r="AC137" s="9"/>
      <c r="AD137" s="9"/>
      <c r="AE137" s="9"/>
      <c r="AF137" s="9">
        <f t="shared" si="149"/>
        <v>0</v>
      </c>
      <c r="AG137" s="9">
        <f t="shared" si="150"/>
        <v>0</v>
      </c>
      <c r="AI137" s="175" t="e">
        <f t="shared" si="164"/>
        <v>#DIV/0!</v>
      </c>
      <c r="AJ137" s="175" t="e">
        <f t="shared" si="151"/>
        <v>#DIV/0!</v>
      </c>
      <c r="AK137" s="175" t="e">
        <f t="shared" si="152"/>
        <v>#DIV/0!</v>
      </c>
      <c r="AL137" s="175">
        <f t="shared" si="153"/>
        <v>1</v>
      </c>
      <c r="AM137" s="175" t="e">
        <f t="shared" si="154"/>
        <v>#DIV/0!</v>
      </c>
      <c r="AN137" s="175" t="e">
        <f t="shared" si="155"/>
        <v>#DIV/0!</v>
      </c>
      <c r="AO137" s="175" t="e">
        <f t="shared" si="156"/>
        <v>#DIV/0!</v>
      </c>
      <c r="AP137" s="175" t="e">
        <f t="shared" si="157"/>
        <v>#DIV/0!</v>
      </c>
      <c r="AQ137" s="175" t="e">
        <f t="shared" si="158"/>
        <v>#DIV/0!</v>
      </c>
      <c r="AR137" s="175" t="e">
        <f t="shared" si="159"/>
        <v>#DIV/0!</v>
      </c>
      <c r="AS137" s="175" t="e">
        <f t="shared" si="160"/>
        <v>#DIV/0!</v>
      </c>
      <c r="AT137" s="175" t="e">
        <f t="shared" si="161"/>
        <v>#DIV/0!</v>
      </c>
      <c r="AU137" s="175">
        <f t="shared" si="162"/>
        <v>1</v>
      </c>
      <c r="AV137" s="175">
        <f t="shared" si="163"/>
        <v>1</v>
      </c>
    </row>
    <row r="138" spans="1:48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102"/>
        <v>500000</v>
      </c>
      <c r="P138" s="21">
        <f t="shared" si="168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61">
        <v>0</v>
      </c>
      <c r="X138" s="21"/>
      <c r="Y138" s="21"/>
      <c r="Z138" s="21"/>
      <c r="AA138" s="21"/>
      <c r="AB138" s="21"/>
      <c r="AC138" s="21"/>
      <c r="AD138" s="21"/>
      <c r="AE138" s="21"/>
      <c r="AF138" s="261">
        <f t="shared" si="149"/>
        <v>0</v>
      </c>
      <c r="AG138" s="21">
        <f t="shared" si="150"/>
        <v>0</v>
      </c>
      <c r="AI138" s="176" t="e">
        <f t="shared" si="164"/>
        <v>#DIV/0!</v>
      </c>
      <c r="AJ138" s="176" t="e">
        <f t="shared" si="151"/>
        <v>#DIV/0!</v>
      </c>
      <c r="AK138" s="176" t="e">
        <f t="shared" si="152"/>
        <v>#DIV/0!</v>
      </c>
      <c r="AL138" s="176">
        <f t="shared" si="153"/>
        <v>1</v>
      </c>
      <c r="AM138" s="176" t="e">
        <f t="shared" si="154"/>
        <v>#DIV/0!</v>
      </c>
      <c r="AN138" s="176" t="e">
        <f t="shared" si="155"/>
        <v>#DIV/0!</v>
      </c>
      <c r="AO138" s="176" t="e">
        <f t="shared" si="156"/>
        <v>#DIV/0!</v>
      </c>
      <c r="AP138" s="176" t="e">
        <f t="shared" si="157"/>
        <v>#DIV/0!</v>
      </c>
      <c r="AQ138" s="176" t="e">
        <f t="shared" si="158"/>
        <v>#DIV/0!</v>
      </c>
      <c r="AR138" s="176" t="e">
        <f t="shared" si="159"/>
        <v>#DIV/0!</v>
      </c>
      <c r="AS138" s="176" t="e">
        <f t="shared" si="160"/>
        <v>#DIV/0!</v>
      </c>
      <c r="AT138" s="176" t="e">
        <f t="shared" si="161"/>
        <v>#DIV/0!</v>
      </c>
      <c r="AU138" s="176">
        <f t="shared" si="162"/>
        <v>1</v>
      </c>
      <c r="AV138" s="176">
        <f t="shared" si="163"/>
        <v>1</v>
      </c>
    </row>
    <row r="139" spans="1:48" x14ac:dyDescent="0.25">
      <c r="A139" s="7" t="s">
        <v>243</v>
      </c>
      <c r="B139" s="8" t="s">
        <v>735</v>
      </c>
      <c r="C139" s="9">
        <f t="shared" ref="C139:N139" si="170">SUM(C140:C143)</f>
        <v>18124000</v>
      </c>
      <c r="D139" s="9">
        <f t="shared" si="170"/>
        <v>18716000</v>
      </c>
      <c r="E139" s="9">
        <f t="shared" si="170"/>
        <v>18116000</v>
      </c>
      <c r="F139" s="9">
        <f t="shared" si="170"/>
        <v>19616000</v>
      </c>
      <c r="G139" s="9">
        <f t="shared" si="170"/>
        <v>18116000</v>
      </c>
      <c r="H139" s="9">
        <f t="shared" si="170"/>
        <v>18116000</v>
      </c>
      <c r="I139" s="9">
        <f t="shared" si="170"/>
        <v>18116000</v>
      </c>
      <c r="J139" s="9">
        <f t="shared" si="170"/>
        <v>18116000</v>
      </c>
      <c r="K139" s="9">
        <f t="shared" si="170"/>
        <v>18116000</v>
      </c>
      <c r="L139" s="9">
        <f t="shared" si="170"/>
        <v>18116000</v>
      </c>
      <c r="M139" s="9">
        <f t="shared" si="170"/>
        <v>27116000</v>
      </c>
      <c r="N139" s="9">
        <f t="shared" si="170"/>
        <v>9116000</v>
      </c>
      <c r="O139" s="9">
        <f t="shared" ref="O139:O202" si="171">+C139+D139+E139+F139</f>
        <v>74572000</v>
      </c>
      <c r="P139" s="9">
        <f t="shared" si="168"/>
        <v>219500000</v>
      </c>
      <c r="R139" s="7" t="s">
        <v>243</v>
      </c>
      <c r="S139" s="8" t="s">
        <v>244</v>
      </c>
      <c r="T139" s="9">
        <f>SUM(T140:T143)</f>
        <v>151883600</v>
      </c>
      <c r="U139" s="9">
        <v>28818183</v>
      </c>
      <c r="V139" s="9">
        <v>32734383</v>
      </c>
      <c r="W139" s="9">
        <f t="shared" ref="W139" si="172">SUM(W140:W143)</f>
        <v>33282846</v>
      </c>
      <c r="X139" s="9"/>
      <c r="Y139" s="9"/>
      <c r="Z139" s="9"/>
      <c r="AA139" s="9"/>
      <c r="AB139" s="9"/>
      <c r="AC139" s="9"/>
      <c r="AD139" s="9"/>
      <c r="AE139" s="9"/>
      <c r="AF139" s="9">
        <f t="shared" si="149"/>
        <v>246719012</v>
      </c>
      <c r="AG139" s="9">
        <f t="shared" si="150"/>
        <v>246719012</v>
      </c>
      <c r="AI139" s="175">
        <f t="shared" si="164"/>
        <v>-7.3802471860516441</v>
      </c>
      <c r="AJ139" s="175">
        <f t="shared" si="151"/>
        <v>-0.5397618615088694</v>
      </c>
      <c r="AK139" s="175">
        <f t="shared" si="152"/>
        <v>-0.80693215941708984</v>
      </c>
      <c r="AL139" s="175">
        <f t="shared" si="153"/>
        <v>-0.696719310766721</v>
      </c>
      <c r="AM139" s="175">
        <f t="shared" si="154"/>
        <v>1</v>
      </c>
      <c r="AN139" s="175">
        <f t="shared" si="155"/>
        <v>1</v>
      </c>
      <c r="AO139" s="175">
        <f t="shared" si="156"/>
        <v>1</v>
      </c>
      <c r="AP139" s="175">
        <f t="shared" si="157"/>
        <v>1</v>
      </c>
      <c r="AQ139" s="175">
        <f t="shared" si="158"/>
        <v>1</v>
      </c>
      <c r="AR139" s="175">
        <f t="shared" si="159"/>
        <v>1</v>
      </c>
      <c r="AS139" s="175">
        <f t="shared" si="160"/>
        <v>1</v>
      </c>
      <c r="AT139" s="175">
        <f t="shared" si="161"/>
        <v>1</v>
      </c>
      <c r="AU139" s="175">
        <f t="shared" si="162"/>
        <v>-2.3084671458456256</v>
      </c>
      <c r="AV139" s="175">
        <f t="shared" si="163"/>
        <v>-0.12400461047835991</v>
      </c>
    </row>
    <row r="140" spans="1:48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71"/>
        <v>36472000</v>
      </c>
      <c r="P140" s="21">
        <f t="shared" si="168"/>
        <v>109400000</v>
      </c>
      <c r="R140" s="2" t="s">
        <v>245</v>
      </c>
      <c r="S140" s="19" t="s">
        <v>246</v>
      </c>
      <c r="T140" s="21">
        <v>100000000</v>
      </c>
      <c r="U140" s="21">
        <v>14259382</v>
      </c>
      <c r="V140" s="21">
        <v>25642733</v>
      </c>
      <c r="W140" s="261">
        <v>24133196</v>
      </c>
      <c r="X140" s="21"/>
      <c r="Y140" s="21"/>
      <c r="Z140" s="21"/>
      <c r="AA140" s="21"/>
      <c r="AB140" s="21"/>
      <c r="AC140" s="21"/>
      <c r="AD140" s="21"/>
      <c r="AE140" s="21"/>
      <c r="AF140" s="261">
        <f t="shared" si="149"/>
        <v>164035311</v>
      </c>
      <c r="AG140" s="21">
        <f t="shared" si="150"/>
        <v>164035311</v>
      </c>
      <c r="AI140" s="176">
        <f t="shared" si="164"/>
        <v>-9.9601052170100832</v>
      </c>
      <c r="AJ140" s="176">
        <f t="shared" si="151"/>
        <v>-0.56421478718736284</v>
      </c>
      <c r="AK140" s="176">
        <f t="shared" si="152"/>
        <v>-1.812936924089513</v>
      </c>
      <c r="AL140" s="176">
        <f t="shared" si="153"/>
        <v>-1.6473448881088197</v>
      </c>
      <c r="AM140" s="176">
        <f t="shared" si="154"/>
        <v>1</v>
      </c>
      <c r="AN140" s="176">
        <f t="shared" si="155"/>
        <v>1</v>
      </c>
      <c r="AO140" s="176">
        <f t="shared" si="156"/>
        <v>1</v>
      </c>
      <c r="AP140" s="176">
        <f t="shared" si="157"/>
        <v>1</v>
      </c>
      <c r="AQ140" s="176">
        <f t="shared" si="158"/>
        <v>1</v>
      </c>
      <c r="AR140" s="176">
        <f t="shared" si="159"/>
        <v>1</v>
      </c>
      <c r="AS140" s="176">
        <f t="shared" si="160"/>
        <v>1</v>
      </c>
      <c r="AT140" s="176">
        <f t="shared" si="161"/>
        <v>1</v>
      </c>
      <c r="AU140" s="176">
        <f t="shared" si="162"/>
        <v>-3.497568298969072</v>
      </c>
      <c r="AV140" s="176">
        <f t="shared" si="163"/>
        <v>-0.49940869287020112</v>
      </c>
    </row>
    <row r="141" spans="1:48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71"/>
        <v>400000</v>
      </c>
      <c r="P141" s="21">
        <f t="shared" si="168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61">
        <v>0</v>
      </c>
      <c r="X141" s="21"/>
      <c r="Y141" s="21"/>
      <c r="Z141" s="21"/>
      <c r="AA141" s="21"/>
      <c r="AB141" s="21"/>
      <c r="AC141" s="21"/>
      <c r="AD141" s="21"/>
      <c r="AE141" s="21"/>
      <c r="AF141" s="261">
        <f t="shared" si="149"/>
        <v>200000</v>
      </c>
      <c r="AG141" s="21">
        <f t="shared" si="150"/>
        <v>200000</v>
      </c>
      <c r="AI141" s="176" t="e">
        <f t="shared" si="164"/>
        <v>#DIV/0!</v>
      </c>
      <c r="AJ141" s="176">
        <f t="shared" si="151"/>
        <v>1</v>
      </c>
      <c r="AK141" s="176" t="e">
        <f t="shared" si="152"/>
        <v>#DIV/0!</v>
      </c>
      <c r="AL141" s="176">
        <f t="shared" si="153"/>
        <v>1</v>
      </c>
      <c r="AM141" s="176" t="e">
        <f t="shared" si="154"/>
        <v>#DIV/0!</v>
      </c>
      <c r="AN141" s="176" t="e">
        <f t="shared" si="155"/>
        <v>#DIV/0!</v>
      </c>
      <c r="AO141" s="176" t="e">
        <f t="shared" si="156"/>
        <v>#DIV/0!</v>
      </c>
      <c r="AP141" s="176" t="e">
        <f t="shared" si="157"/>
        <v>#DIV/0!</v>
      </c>
      <c r="AQ141" s="176" t="e">
        <f t="shared" si="158"/>
        <v>#DIV/0!</v>
      </c>
      <c r="AR141" s="176" t="e">
        <f t="shared" si="159"/>
        <v>#DIV/0!</v>
      </c>
      <c r="AS141" s="176" t="e">
        <f t="shared" si="160"/>
        <v>#DIV/0!</v>
      </c>
      <c r="AT141" s="176" t="e">
        <f t="shared" si="161"/>
        <v>#DIV/0!</v>
      </c>
      <c r="AU141" s="176">
        <f t="shared" si="162"/>
        <v>0.5</v>
      </c>
      <c r="AV141" s="176">
        <f t="shared" si="163"/>
        <v>0.5</v>
      </c>
    </row>
    <row r="142" spans="1:48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71"/>
        <v>400000</v>
      </c>
      <c r="P142" s="21">
        <f t="shared" si="168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61">
        <v>0</v>
      </c>
      <c r="X142" s="21"/>
      <c r="Y142" s="21"/>
      <c r="Z142" s="21"/>
      <c r="AA142" s="21"/>
      <c r="AB142" s="21"/>
      <c r="AC142" s="21"/>
      <c r="AD142" s="21"/>
      <c r="AE142" s="21"/>
      <c r="AF142" s="261">
        <f t="shared" si="149"/>
        <v>300000</v>
      </c>
      <c r="AG142" s="21">
        <f t="shared" si="150"/>
        <v>300000</v>
      </c>
      <c r="AI142" s="176" t="e">
        <f t="shared" si="164"/>
        <v>#DIV/0!</v>
      </c>
      <c r="AJ142" s="176">
        <f t="shared" si="151"/>
        <v>1</v>
      </c>
      <c r="AK142" s="176" t="e">
        <f t="shared" si="152"/>
        <v>#DIV/0!</v>
      </c>
      <c r="AL142" s="176" t="e">
        <f t="shared" si="153"/>
        <v>#DIV/0!</v>
      </c>
      <c r="AM142" s="176" t="e">
        <f t="shared" si="154"/>
        <v>#DIV/0!</v>
      </c>
      <c r="AN142" s="176" t="e">
        <f t="shared" si="155"/>
        <v>#DIV/0!</v>
      </c>
      <c r="AO142" s="176" t="e">
        <f t="shared" si="156"/>
        <v>#DIV/0!</v>
      </c>
      <c r="AP142" s="176" t="e">
        <f t="shared" si="157"/>
        <v>#DIV/0!</v>
      </c>
      <c r="AQ142" s="176" t="e">
        <f t="shared" si="158"/>
        <v>#DIV/0!</v>
      </c>
      <c r="AR142" s="176" t="e">
        <f t="shared" si="159"/>
        <v>#DIV/0!</v>
      </c>
      <c r="AS142" s="176" t="e">
        <f t="shared" si="160"/>
        <v>#DIV/0!</v>
      </c>
      <c r="AT142" s="176" t="e">
        <f t="shared" si="161"/>
        <v>#DIV/0!</v>
      </c>
      <c r="AU142" s="176">
        <f t="shared" si="162"/>
        <v>0.25</v>
      </c>
      <c r="AV142" s="176">
        <f t="shared" si="163"/>
        <v>0.25</v>
      </c>
    </row>
    <row r="143" spans="1:48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71"/>
        <v>37300000</v>
      </c>
      <c r="P143" s="21">
        <f t="shared" si="168"/>
        <v>109300000</v>
      </c>
      <c r="R143" s="2" t="s">
        <v>251</v>
      </c>
      <c r="S143" s="19" t="s">
        <v>252</v>
      </c>
      <c r="T143" s="21">
        <v>51383600</v>
      </c>
      <c r="U143" s="21">
        <v>14558801</v>
      </c>
      <c r="V143" s="21">
        <v>7091650</v>
      </c>
      <c r="W143" s="261">
        <v>9149650</v>
      </c>
      <c r="X143" s="21"/>
      <c r="Y143" s="21"/>
      <c r="Z143" s="21"/>
      <c r="AA143" s="21"/>
      <c r="AB143" s="21"/>
      <c r="AC143" s="21"/>
      <c r="AD143" s="21"/>
      <c r="AE143" s="21"/>
      <c r="AF143" s="261">
        <f t="shared" si="149"/>
        <v>82183701</v>
      </c>
      <c r="AG143" s="21">
        <f t="shared" si="150"/>
        <v>82183701</v>
      </c>
      <c r="AI143" s="176">
        <f t="shared" si="164"/>
        <v>-4.7092888888888886</v>
      </c>
      <c r="AJ143" s="176">
        <f t="shared" si="151"/>
        <v>-0.61764455555555553</v>
      </c>
      <c r="AK143" s="176">
        <f t="shared" si="152"/>
        <v>0.21203888888888889</v>
      </c>
      <c r="AL143" s="176">
        <f t="shared" si="153"/>
        <v>0.11168446601941748</v>
      </c>
      <c r="AM143" s="176">
        <f t="shared" si="154"/>
        <v>1</v>
      </c>
      <c r="AN143" s="176">
        <f t="shared" si="155"/>
        <v>1</v>
      </c>
      <c r="AO143" s="176">
        <f t="shared" si="156"/>
        <v>1</v>
      </c>
      <c r="AP143" s="176">
        <f t="shared" si="157"/>
        <v>1</v>
      </c>
      <c r="AQ143" s="176">
        <f t="shared" si="158"/>
        <v>1</v>
      </c>
      <c r="AR143" s="176">
        <f t="shared" si="159"/>
        <v>1</v>
      </c>
      <c r="AS143" s="176">
        <f t="shared" si="160"/>
        <v>1</v>
      </c>
      <c r="AT143" s="176" t="e">
        <f t="shared" si="161"/>
        <v>#DIV/0!</v>
      </c>
      <c r="AU143" s="176">
        <f t="shared" si="162"/>
        <v>-1.203316380697051</v>
      </c>
      <c r="AV143" s="176">
        <f t="shared" si="163"/>
        <v>0.24809056724611162</v>
      </c>
    </row>
    <row r="144" spans="1:48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73">+D145+D146+D147</f>
        <v>0</v>
      </c>
      <c r="E144" s="9">
        <f t="shared" si="173"/>
        <v>0</v>
      </c>
      <c r="F144" s="9">
        <f t="shared" si="173"/>
        <v>300000</v>
      </c>
      <c r="G144" s="9">
        <f t="shared" si="173"/>
        <v>0</v>
      </c>
      <c r="H144" s="9">
        <f t="shared" si="173"/>
        <v>0</v>
      </c>
      <c r="I144" s="9">
        <f t="shared" si="173"/>
        <v>0</v>
      </c>
      <c r="J144" s="9">
        <f t="shared" si="173"/>
        <v>0</v>
      </c>
      <c r="K144" s="9">
        <f t="shared" si="173"/>
        <v>0</v>
      </c>
      <c r="L144" s="9">
        <f t="shared" si="173"/>
        <v>0</v>
      </c>
      <c r="M144" s="9">
        <f t="shared" si="173"/>
        <v>0</v>
      </c>
      <c r="N144" s="9">
        <f t="shared" si="173"/>
        <v>0</v>
      </c>
      <c r="O144" s="9">
        <f t="shared" si="171"/>
        <v>300000</v>
      </c>
      <c r="P144" s="9">
        <f t="shared" si="173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f t="shared" ref="W144" si="174">+W145+W146+W147</f>
        <v>0</v>
      </c>
      <c r="X144" s="9"/>
      <c r="Y144" s="9"/>
      <c r="Z144" s="9"/>
      <c r="AA144" s="9"/>
      <c r="AB144" s="9"/>
      <c r="AC144" s="9"/>
      <c r="AD144" s="9"/>
      <c r="AE144" s="9"/>
      <c r="AF144" s="9">
        <f t="shared" si="149"/>
        <v>0</v>
      </c>
      <c r="AG144" s="9">
        <f t="shared" si="150"/>
        <v>0</v>
      </c>
      <c r="AI144" s="175" t="e">
        <f t="shared" si="164"/>
        <v>#DIV/0!</v>
      </c>
      <c r="AJ144" s="175" t="e">
        <f t="shared" si="151"/>
        <v>#DIV/0!</v>
      </c>
      <c r="AK144" s="175" t="e">
        <f t="shared" si="152"/>
        <v>#DIV/0!</v>
      </c>
      <c r="AL144" s="175">
        <f t="shared" si="153"/>
        <v>1</v>
      </c>
      <c r="AM144" s="175" t="e">
        <f t="shared" si="154"/>
        <v>#DIV/0!</v>
      </c>
      <c r="AN144" s="175" t="e">
        <f t="shared" si="155"/>
        <v>#DIV/0!</v>
      </c>
      <c r="AO144" s="175" t="e">
        <f t="shared" si="156"/>
        <v>#DIV/0!</v>
      </c>
      <c r="AP144" s="175" t="e">
        <f t="shared" si="157"/>
        <v>#DIV/0!</v>
      </c>
      <c r="AQ144" s="175" t="e">
        <f t="shared" si="158"/>
        <v>#DIV/0!</v>
      </c>
      <c r="AR144" s="175" t="e">
        <f t="shared" si="159"/>
        <v>#DIV/0!</v>
      </c>
      <c r="AS144" s="175" t="e">
        <f t="shared" si="160"/>
        <v>#DIV/0!</v>
      </c>
      <c r="AT144" s="175" t="e">
        <f t="shared" si="161"/>
        <v>#DIV/0!</v>
      </c>
      <c r="AU144" s="175">
        <f t="shared" si="162"/>
        <v>1</v>
      </c>
      <c r="AV144" s="175">
        <f t="shared" si="163"/>
        <v>1</v>
      </c>
    </row>
    <row r="145" spans="1:48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71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61">
        <v>0</v>
      </c>
      <c r="X145" s="21"/>
      <c r="Y145" s="21"/>
      <c r="Z145" s="21"/>
      <c r="AA145" s="21"/>
      <c r="AB145" s="21"/>
      <c r="AC145" s="21"/>
      <c r="AD145" s="21"/>
      <c r="AE145" s="21"/>
      <c r="AF145" s="261">
        <f t="shared" si="149"/>
        <v>0</v>
      </c>
      <c r="AG145" s="21">
        <f t="shared" si="150"/>
        <v>0</v>
      </c>
      <c r="AI145" s="176" t="e">
        <f t="shared" si="164"/>
        <v>#DIV/0!</v>
      </c>
      <c r="AJ145" s="176" t="e">
        <f t="shared" si="151"/>
        <v>#DIV/0!</v>
      </c>
      <c r="AK145" s="176" t="e">
        <f t="shared" si="152"/>
        <v>#DIV/0!</v>
      </c>
      <c r="AL145" s="176">
        <f t="shared" si="153"/>
        <v>1</v>
      </c>
      <c r="AM145" s="176" t="e">
        <f t="shared" si="154"/>
        <v>#DIV/0!</v>
      </c>
      <c r="AN145" s="176" t="e">
        <f t="shared" si="155"/>
        <v>#DIV/0!</v>
      </c>
      <c r="AO145" s="176" t="e">
        <f t="shared" si="156"/>
        <v>#DIV/0!</v>
      </c>
      <c r="AP145" s="176" t="e">
        <f t="shared" si="157"/>
        <v>#DIV/0!</v>
      </c>
      <c r="AQ145" s="176" t="e">
        <f t="shared" si="158"/>
        <v>#DIV/0!</v>
      </c>
      <c r="AR145" s="176" t="e">
        <f t="shared" si="159"/>
        <v>#DIV/0!</v>
      </c>
      <c r="AS145" s="176" t="e">
        <f t="shared" si="160"/>
        <v>#DIV/0!</v>
      </c>
      <c r="AT145" s="176" t="e">
        <f t="shared" si="161"/>
        <v>#DIV/0!</v>
      </c>
      <c r="AU145" s="176">
        <f t="shared" si="162"/>
        <v>1</v>
      </c>
      <c r="AV145" s="176">
        <f t="shared" si="163"/>
        <v>1</v>
      </c>
    </row>
    <row r="146" spans="1:48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71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61">
        <v>0</v>
      </c>
      <c r="X146" s="21"/>
      <c r="Y146" s="21"/>
      <c r="Z146" s="21"/>
      <c r="AA146" s="21"/>
      <c r="AB146" s="21"/>
      <c r="AC146" s="21"/>
      <c r="AD146" s="21"/>
      <c r="AE146" s="21"/>
      <c r="AF146" s="261">
        <f t="shared" si="149"/>
        <v>0</v>
      </c>
      <c r="AG146" s="21">
        <f t="shared" si="150"/>
        <v>0</v>
      </c>
      <c r="AI146" s="176" t="e">
        <f t="shared" si="164"/>
        <v>#DIV/0!</v>
      </c>
      <c r="AJ146" s="176" t="e">
        <f t="shared" si="151"/>
        <v>#DIV/0!</v>
      </c>
      <c r="AK146" s="176" t="e">
        <f t="shared" si="152"/>
        <v>#DIV/0!</v>
      </c>
      <c r="AL146" s="176">
        <f t="shared" si="153"/>
        <v>1</v>
      </c>
      <c r="AM146" s="176" t="e">
        <f t="shared" si="154"/>
        <v>#DIV/0!</v>
      </c>
      <c r="AN146" s="176" t="e">
        <f t="shared" si="155"/>
        <v>#DIV/0!</v>
      </c>
      <c r="AO146" s="176" t="e">
        <f t="shared" si="156"/>
        <v>#DIV/0!</v>
      </c>
      <c r="AP146" s="176" t="e">
        <f t="shared" si="157"/>
        <v>#DIV/0!</v>
      </c>
      <c r="AQ146" s="176" t="e">
        <f t="shared" si="158"/>
        <v>#DIV/0!</v>
      </c>
      <c r="AR146" s="176" t="e">
        <f t="shared" si="159"/>
        <v>#DIV/0!</v>
      </c>
      <c r="AS146" s="176" t="e">
        <f t="shared" si="160"/>
        <v>#DIV/0!</v>
      </c>
      <c r="AT146" s="176" t="e">
        <f t="shared" si="161"/>
        <v>#DIV/0!</v>
      </c>
      <c r="AU146" s="176">
        <f t="shared" si="162"/>
        <v>1</v>
      </c>
      <c r="AV146" s="176">
        <f t="shared" si="163"/>
        <v>1</v>
      </c>
    </row>
    <row r="147" spans="1:48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71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61">
        <v>0</v>
      </c>
      <c r="X147" s="21"/>
      <c r="Y147" s="21"/>
      <c r="Z147" s="21"/>
      <c r="AA147" s="21"/>
      <c r="AB147" s="21"/>
      <c r="AC147" s="21"/>
      <c r="AD147" s="21"/>
      <c r="AE147" s="21"/>
      <c r="AF147" s="261">
        <f t="shared" si="149"/>
        <v>0</v>
      </c>
      <c r="AG147" s="21">
        <f t="shared" si="150"/>
        <v>0</v>
      </c>
      <c r="AI147" s="176" t="e">
        <f t="shared" si="164"/>
        <v>#DIV/0!</v>
      </c>
      <c r="AJ147" s="176" t="e">
        <f t="shared" si="151"/>
        <v>#DIV/0!</v>
      </c>
      <c r="AK147" s="176" t="e">
        <f t="shared" si="152"/>
        <v>#DIV/0!</v>
      </c>
      <c r="AL147" s="176">
        <f t="shared" si="153"/>
        <v>1</v>
      </c>
      <c r="AM147" s="176" t="e">
        <f t="shared" si="154"/>
        <v>#DIV/0!</v>
      </c>
      <c r="AN147" s="176" t="e">
        <f t="shared" si="155"/>
        <v>#DIV/0!</v>
      </c>
      <c r="AO147" s="176" t="e">
        <f t="shared" si="156"/>
        <v>#DIV/0!</v>
      </c>
      <c r="AP147" s="176" t="e">
        <f t="shared" si="157"/>
        <v>#DIV/0!</v>
      </c>
      <c r="AQ147" s="176" t="e">
        <f t="shared" si="158"/>
        <v>#DIV/0!</v>
      </c>
      <c r="AR147" s="176" t="e">
        <f t="shared" si="159"/>
        <v>#DIV/0!</v>
      </c>
      <c r="AS147" s="176" t="e">
        <f t="shared" si="160"/>
        <v>#DIV/0!</v>
      </c>
      <c r="AT147" s="176" t="e">
        <f t="shared" si="161"/>
        <v>#DIV/0!</v>
      </c>
      <c r="AU147" s="176">
        <f t="shared" si="162"/>
        <v>1</v>
      </c>
      <c r="AV147" s="176">
        <f t="shared" si="163"/>
        <v>1</v>
      </c>
    </row>
    <row r="148" spans="1:48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71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61">
        <v>0</v>
      </c>
      <c r="X148" s="21"/>
      <c r="Y148" s="21"/>
      <c r="Z148" s="21"/>
      <c r="AA148" s="21"/>
      <c r="AB148" s="21"/>
      <c r="AC148" s="21"/>
      <c r="AD148" s="21"/>
      <c r="AE148" s="21"/>
      <c r="AF148" s="261">
        <f t="shared" si="149"/>
        <v>0</v>
      </c>
      <c r="AG148" s="21">
        <f t="shared" si="150"/>
        <v>0</v>
      </c>
      <c r="AI148" s="176" t="e">
        <f t="shared" si="164"/>
        <v>#DIV/0!</v>
      </c>
      <c r="AJ148" s="176">
        <f t="shared" si="151"/>
        <v>1</v>
      </c>
      <c r="AK148" s="176">
        <f t="shared" si="152"/>
        <v>1</v>
      </c>
      <c r="AL148" s="176" t="e">
        <f t="shared" si="153"/>
        <v>#DIV/0!</v>
      </c>
      <c r="AM148" s="176" t="e">
        <f t="shared" si="154"/>
        <v>#DIV/0!</v>
      </c>
      <c r="AN148" s="176" t="e">
        <f t="shared" si="155"/>
        <v>#DIV/0!</v>
      </c>
      <c r="AO148" s="176" t="e">
        <f t="shared" si="156"/>
        <v>#DIV/0!</v>
      </c>
      <c r="AP148" s="176" t="e">
        <f t="shared" si="157"/>
        <v>#DIV/0!</v>
      </c>
      <c r="AQ148" s="176" t="e">
        <f t="shared" si="158"/>
        <v>#DIV/0!</v>
      </c>
      <c r="AR148" s="176" t="e">
        <f t="shared" si="159"/>
        <v>#DIV/0!</v>
      </c>
      <c r="AS148" s="176" t="e">
        <f t="shared" si="160"/>
        <v>#DIV/0!</v>
      </c>
      <c r="AT148" s="176" t="e">
        <f t="shared" si="161"/>
        <v>#DIV/0!</v>
      </c>
      <c r="AU148" s="176">
        <f t="shared" si="162"/>
        <v>1</v>
      </c>
      <c r="AV148" s="176">
        <f t="shared" si="163"/>
        <v>1</v>
      </c>
    </row>
    <row r="149" spans="1:48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71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61">
        <v>0</v>
      </c>
      <c r="X149" s="21"/>
      <c r="Y149" s="21"/>
      <c r="Z149" s="21"/>
      <c r="AA149" s="21"/>
      <c r="AB149" s="21"/>
      <c r="AC149" s="21"/>
      <c r="AD149" s="21"/>
      <c r="AE149" s="21"/>
      <c r="AF149" s="261">
        <f t="shared" si="149"/>
        <v>0</v>
      </c>
      <c r="AG149" s="21">
        <f t="shared" si="150"/>
        <v>0</v>
      </c>
      <c r="AI149" s="176" t="e">
        <f t="shared" si="164"/>
        <v>#DIV/0!</v>
      </c>
      <c r="AJ149" s="176">
        <f t="shared" si="151"/>
        <v>1</v>
      </c>
      <c r="AK149" s="176">
        <f t="shared" si="152"/>
        <v>1</v>
      </c>
      <c r="AL149" s="176">
        <f t="shared" si="153"/>
        <v>1</v>
      </c>
      <c r="AM149" s="176" t="e">
        <f t="shared" si="154"/>
        <v>#DIV/0!</v>
      </c>
      <c r="AN149" s="176" t="e">
        <f t="shared" si="155"/>
        <v>#DIV/0!</v>
      </c>
      <c r="AO149" s="176">
        <f t="shared" si="156"/>
        <v>1</v>
      </c>
      <c r="AP149" s="176" t="e">
        <f t="shared" si="157"/>
        <v>#DIV/0!</v>
      </c>
      <c r="AQ149" s="176" t="e">
        <f t="shared" si="158"/>
        <v>#DIV/0!</v>
      </c>
      <c r="AR149" s="176" t="e">
        <f t="shared" si="159"/>
        <v>#DIV/0!</v>
      </c>
      <c r="AS149" s="176" t="e">
        <f t="shared" si="160"/>
        <v>#DIV/0!</v>
      </c>
      <c r="AT149" s="176" t="e">
        <f t="shared" si="161"/>
        <v>#DIV/0!</v>
      </c>
      <c r="AU149" s="176">
        <f t="shared" si="162"/>
        <v>1</v>
      </c>
      <c r="AV149" s="176">
        <f t="shared" si="163"/>
        <v>1</v>
      </c>
    </row>
    <row r="150" spans="1:48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75">+D151+D152+D159+D163+D169+D175+D180+D185</f>
        <v>141071217.1111111</v>
      </c>
      <c r="E150" s="9">
        <f t="shared" si="175"/>
        <v>145840356.44444445</v>
      </c>
      <c r="F150" s="9">
        <f t="shared" si="175"/>
        <v>170484621.44444445</v>
      </c>
      <c r="G150" s="9">
        <f t="shared" si="175"/>
        <v>100498110.44444445</v>
      </c>
      <c r="H150" s="9">
        <f t="shared" si="175"/>
        <v>74638110.444444448</v>
      </c>
      <c r="I150" s="9">
        <f t="shared" si="175"/>
        <v>133463221.55555551</v>
      </c>
      <c r="J150" s="9">
        <f t="shared" si="175"/>
        <v>96163112.444444448</v>
      </c>
      <c r="K150" s="9">
        <f t="shared" si="175"/>
        <v>58881031.444444448</v>
      </c>
      <c r="L150" s="9">
        <f t="shared" si="175"/>
        <v>63138112.444444448</v>
      </c>
      <c r="M150" s="9">
        <f t="shared" si="175"/>
        <v>57138113.444444448</v>
      </c>
      <c r="N150" s="9">
        <f t="shared" si="175"/>
        <v>38011666</v>
      </c>
      <c r="O150" s="9">
        <f t="shared" si="171"/>
        <v>582330972.11111104</v>
      </c>
      <c r="P150" s="9">
        <f t="shared" si="175"/>
        <v>1204262450.3333335</v>
      </c>
      <c r="R150" s="7" t="s">
        <v>265</v>
      </c>
      <c r="S150" s="8" t="s">
        <v>266</v>
      </c>
      <c r="T150" s="9">
        <f>+T151+T152+T159+T163+T169+T175+T180+T185</f>
        <v>275457231</v>
      </c>
      <c r="U150" s="9">
        <v>63121456</v>
      </c>
      <c r="V150" s="9">
        <v>44712439</v>
      </c>
      <c r="W150" s="9">
        <f t="shared" ref="W150" si="176">+W151+W152+W159+W163+W169+W175+W180+W185</f>
        <v>30238398</v>
      </c>
      <c r="X150" s="9"/>
      <c r="Y150" s="9"/>
      <c r="Z150" s="9"/>
      <c r="AA150" s="9"/>
      <c r="AB150" s="9"/>
      <c r="AC150" s="9"/>
      <c r="AD150" s="9"/>
      <c r="AE150" s="9"/>
      <c r="AF150" s="9">
        <f t="shared" si="149"/>
        <v>413529524</v>
      </c>
      <c r="AG150" s="9">
        <f t="shared" si="150"/>
        <v>413529524</v>
      </c>
      <c r="AI150" s="175">
        <f t="shared" si="164"/>
        <v>-1.2048082797235979</v>
      </c>
      <c r="AJ150" s="175">
        <f t="shared" si="151"/>
        <v>0.55255609689477614</v>
      </c>
      <c r="AK150" s="175">
        <f t="shared" si="152"/>
        <v>0.69341518294332682</v>
      </c>
      <c r="AL150" s="175">
        <f t="shared" si="153"/>
        <v>0.82263269411749407</v>
      </c>
      <c r="AM150" s="175">
        <f t="shared" si="154"/>
        <v>1</v>
      </c>
      <c r="AN150" s="175">
        <f t="shared" si="155"/>
        <v>1</v>
      </c>
      <c r="AO150" s="175">
        <f t="shared" si="156"/>
        <v>1</v>
      </c>
      <c r="AP150" s="175">
        <f t="shared" si="157"/>
        <v>1</v>
      </c>
      <c r="AQ150" s="175">
        <f t="shared" si="158"/>
        <v>1</v>
      </c>
      <c r="AR150" s="175">
        <f t="shared" si="159"/>
        <v>1</v>
      </c>
      <c r="AS150" s="175">
        <f t="shared" si="160"/>
        <v>1</v>
      </c>
      <c r="AT150" s="175">
        <f t="shared" si="161"/>
        <v>1</v>
      </c>
      <c r="AU150" s="175">
        <f t="shared" si="162"/>
        <v>0.28987200783629807</v>
      </c>
      <c r="AV150" s="175">
        <f t="shared" si="163"/>
        <v>0.65661179264907144</v>
      </c>
    </row>
    <row r="151" spans="1:48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71"/>
        <v>3125000</v>
      </c>
      <c r="P151" s="21">
        <f t="shared" ref="P151:P168" si="177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61">
        <v>0</v>
      </c>
      <c r="X151" s="21"/>
      <c r="Y151" s="21"/>
      <c r="Z151" s="21"/>
      <c r="AA151" s="21"/>
      <c r="AB151" s="21"/>
      <c r="AC151" s="21"/>
      <c r="AD151" s="21"/>
      <c r="AE151" s="21"/>
      <c r="AF151" s="261">
        <f t="shared" si="149"/>
        <v>1000000</v>
      </c>
      <c r="AG151" s="21">
        <f t="shared" si="150"/>
        <v>1000000</v>
      </c>
      <c r="AI151" s="176" t="e">
        <f t="shared" si="164"/>
        <v>#DIV/0!</v>
      </c>
      <c r="AJ151" s="176" t="e">
        <f t="shared" si="151"/>
        <v>#DIV/0!</v>
      </c>
      <c r="AK151" s="176">
        <f t="shared" si="152"/>
        <v>1</v>
      </c>
      <c r="AL151" s="176" t="e">
        <f t="shared" si="153"/>
        <v>#DIV/0!</v>
      </c>
      <c r="AM151" s="176" t="e">
        <f t="shared" si="154"/>
        <v>#DIV/0!</v>
      </c>
      <c r="AN151" s="176" t="e">
        <f t="shared" si="155"/>
        <v>#DIV/0!</v>
      </c>
      <c r="AO151" s="176" t="e">
        <f t="shared" si="156"/>
        <v>#DIV/0!</v>
      </c>
      <c r="AP151" s="176">
        <f t="shared" si="157"/>
        <v>1</v>
      </c>
      <c r="AQ151" s="176" t="e">
        <f t="shared" si="158"/>
        <v>#DIV/0!</v>
      </c>
      <c r="AR151" s="176" t="e">
        <f t="shared" si="159"/>
        <v>#DIV/0!</v>
      </c>
      <c r="AS151" s="176" t="e">
        <f t="shared" si="160"/>
        <v>#DIV/0!</v>
      </c>
      <c r="AT151" s="176" t="e">
        <f t="shared" si="161"/>
        <v>#DIV/0!</v>
      </c>
      <c r="AU151" s="176">
        <f t="shared" si="162"/>
        <v>0.68</v>
      </c>
      <c r="AV151" s="176">
        <f t="shared" si="163"/>
        <v>0.83333333333333337</v>
      </c>
    </row>
    <row r="152" spans="1:48" x14ac:dyDescent="0.25">
      <c r="A152" s="7" t="s">
        <v>269</v>
      </c>
      <c r="B152" s="8" t="s">
        <v>270</v>
      </c>
      <c r="C152" s="9">
        <f t="shared" ref="C152:N152" si="178">SUM(C153:C158)</f>
        <v>1608333.3333333333</v>
      </c>
      <c r="D152" s="9">
        <f t="shared" si="178"/>
        <v>21258333.333333332</v>
      </c>
      <c r="E152" s="9">
        <f t="shared" si="178"/>
        <v>17455579.333333336</v>
      </c>
      <c r="F152" s="9">
        <f t="shared" si="178"/>
        <v>55401087.333333336</v>
      </c>
      <c r="G152" s="9">
        <f t="shared" si="178"/>
        <v>5278333.333333333</v>
      </c>
      <c r="H152" s="9">
        <f t="shared" si="178"/>
        <v>2278333.333333333</v>
      </c>
      <c r="I152" s="9">
        <f t="shared" si="178"/>
        <v>18678333.333333336</v>
      </c>
      <c r="J152" s="9">
        <f t="shared" si="178"/>
        <v>5028333.333333333</v>
      </c>
      <c r="K152" s="9">
        <f t="shared" si="178"/>
        <v>2528333.333333333</v>
      </c>
      <c r="L152" s="9">
        <f t="shared" si="178"/>
        <v>2278333.333333333</v>
      </c>
      <c r="M152" s="9">
        <f t="shared" si="178"/>
        <v>2278333.333333333</v>
      </c>
      <c r="N152" s="9">
        <f t="shared" si="178"/>
        <v>2278333.333333333</v>
      </c>
      <c r="O152" s="9">
        <f t="shared" si="171"/>
        <v>95723333.333333343</v>
      </c>
      <c r="P152" s="9">
        <f t="shared" si="177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f t="shared" ref="W152" si="179">SUM(W153:W158)</f>
        <v>5504000</v>
      </c>
      <c r="X152" s="9"/>
      <c r="Y152" s="9"/>
      <c r="Z152" s="9"/>
      <c r="AA152" s="9"/>
      <c r="AB152" s="9"/>
      <c r="AC152" s="9"/>
      <c r="AD152" s="9"/>
      <c r="AE152" s="9"/>
      <c r="AF152" s="9">
        <f t="shared" si="149"/>
        <v>15196480</v>
      </c>
      <c r="AG152" s="9">
        <f t="shared" si="150"/>
        <v>15196480</v>
      </c>
      <c r="AI152" s="175">
        <f t="shared" si="164"/>
        <v>-3.8588186528497412</v>
      </c>
      <c r="AJ152" s="175">
        <f t="shared" si="151"/>
        <v>0.91166381811054487</v>
      </c>
      <c r="AK152" s="175">
        <f t="shared" si="152"/>
        <v>1</v>
      </c>
      <c r="AL152" s="175">
        <f t="shared" si="153"/>
        <v>0.90065176939788338</v>
      </c>
      <c r="AM152" s="175">
        <f t="shared" si="154"/>
        <v>1</v>
      </c>
      <c r="AN152" s="175">
        <f t="shared" si="155"/>
        <v>1</v>
      </c>
      <c r="AO152" s="175">
        <f t="shared" si="156"/>
        <v>1</v>
      </c>
      <c r="AP152" s="175">
        <f t="shared" si="157"/>
        <v>1</v>
      </c>
      <c r="AQ152" s="175">
        <f t="shared" si="158"/>
        <v>1</v>
      </c>
      <c r="AR152" s="175">
        <f t="shared" si="159"/>
        <v>1</v>
      </c>
      <c r="AS152" s="175">
        <f t="shared" si="160"/>
        <v>1</v>
      </c>
      <c r="AT152" s="175">
        <f t="shared" si="161"/>
        <v>1</v>
      </c>
      <c r="AU152" s="175">
        <f t="shared" si="162"/>
        <v>0.84124581258488007</v>
      </c>
      <c r="AV152" s="175">
        <f t="shared" si="163"/>
        <v>0.88854800146681334</v>
      </c>
    </row>
    <row r="153" spans="1:48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71"/>
        <v>26090000</v>
      </c>
      <c r="P153" s="21">
        <f t="shared" si="177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0</v>
      </c>
      <c r="W153" s="261">
        <v>0</v>
      </c>
      <c r="X153" s="21"/>
      <c r="Y153" s="21"/>
      <c r="Z153" s="21"/>
      <c r="AA153" s="21"/>
      <c r="AB153" s="21"/>
      <c r="AC153" s="21"/>
      <c r="AD153" s="21"/>
      <c r="AE153" s="21"/>
      <c r="AF153" s="261">
        <f t="shared" si="149"/>
        <v>4592480</v>
      </c>
      <c r="AG153" s="21">
        <f t="shared" si="150"/>
        <v>4592480</v>
      </c>
      <c r="AI153" s="176" t="e">
        <f t="shared" si="164"/>
        <v>#DIV/0!</v>
      </c>
      <c r="AJ153" s="176">
        <f t="shared" si="151"/>
        <v>0.96221199999999996</v>
      </c>
      <c r="AK153" s="176">
        <f t="shared" si="152"/>
        <v>1</v>
      </c>
      <c r="AL153" s="176">
        <f t="shared" si="153"/>
        <v>1</v>
      </c>
      <c r="AM153" s="176">
        <f t="shared" si="154"/>
        <v>1</v>
      </c>
      <c r="AN153" s="176">
        <f t="shared" si="155"/>
        <v>1</v>
      </c>
      <c r="AO153" s="176">
        <f t="shared" si="156"/>
        <v>1</v>
      </c>
      <c r="AP153" s="176">
        <f t="shared" si="157"/>
        <v>1</v>
      </c>
      <c r="AQ153" s="176">
        <f t="shared" si="158"/>
        <v>1</v>
      </c>
      <c r="AR153" s="176">
        <f t="shared" si="159"/>
        <v>1</v>
      </c>
      <c r="AS153" s="176">
        <f t="shared" si="160"/>
        <v>1</v>
      </c>
      <c r="AT153" s="176">
        <f t="shared" si="161"/>
        <v>1</v>
      </c>
      <c r="AU153" s="176">
        <f t="shared" si="162"/>
        <v>0.82397546952855505</v>
      </c>
      <c r="AV153" s="176">
        <f t="shared" si="163"/>
        <v>0.90432333333333337</v>
      </c>
    </row>
    <row r="154" spans="1:48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71"/>
        <v>54833333.333333336</v>
      </c>
      <c r="P154" s="21">
        <f t="shared" si="177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0</v>
      </c>
      <c r="W154" s="261">
        <v>5504000</v>
      </c>
      <c r="X154" s="21"/>
      <c r="Y154" s="21"/>
      <c r="Z154" s="21"/>
      <c r="AA154" s="21"/>
      <c r="AB154" s="21"/>
      <c r="AC154" s="21"/>
      <c r="AD154" s="21"/>
      <c r="AE154" s="21"/>
      <c r="AF154" s="261">
        <f t="shared" si="149"/>
        <v>5504000</v>
      </c>
      <c r="AG154" s="21">
        <f t="shared" si="150"/>
        <v>5504000</v>
      </c>
      <c r="AI154" s="176">
        <f t="shared" si="164"/>
        <v>1</v>
      </c>
      <c r="AJ154" s="176">
        <f t="shared" si="151"/>
        <v>1</v>
      </c>
      <c r="AK154" s="176">
        <f t="shared" si="152"/>
        <v>1</v>
      </c>
      <c r="AL154" s="176">
        <f t="shared" si="153"/>
        <v>0.88088728584310194</v>
      </c>
      <c r="AM154" s="176">
        <f t="shared" si="154"/>
        <v>1</v>
      </c>
      <c r="AN154" s="176">
        <f t="shared" si="155"/>
        <v>1</v>
      </c>
      <c r="AO154" s="176">
        <f t="shared" si="156"/>
        <v>1</v>
      </c>
      <c r="AP154" s="176">
        <f t="shared" si="157"/>
        <v>1</v>
      </c>
      <c r="AQ154" s="176">
        <f t="shared" si="158"/>
        <v>1</v>
      </c>
      <c r="AR154" s="176">
        <f t="shared" si="159"/>
        <v>1</v>
      </c>
      <c r="AS154" s="176">
        <f t="shared" si="160"/>
        <v>1</v>
      </c>
      <c r="AT154" s="176">
        <f t="shared" si="161"/>
        <v>1</v>
      </c>
      <c r="AU154" s="176">
        <f t="shared" si="162"/>
        <v>0.89962310030395132</v>
      </c>
      <c r="AV154" s="176">
        <f t="shared" si="163"/>
        <v>0.91466666666666674</v>
      </c>
    </row>
    <row r="155" spans="1:48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71"/>
        <v>4650000</v>
      </c>
      <c r="P155" s="21">
        <f t="shared" si="177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61">
        <v>0</v>
      </c>
      <c r="X155" s="21"/>
      <c r="Y155" s="21"/>
      <c r="Z155" s="21"/>
      <c r="AA155" s="21"/>
      <c r="AB155" s="21"/>
      <c r="AC155" s="21"/>
      <c r="AD155" s="21"/>
      <c r="AE155" s="21"/>
      <c r="AF155" s="261">
        <f t="shared" si="149"/>
        <v>0</v>
      </c>
      <c r="AG155" s="21">
        <f t="shared" si="150"/>
        <v>0</v>
      </c>
      <c r="AI155" s="176" t="e">
        <f t="shared" si="164"/>
        <v>#DIV/0!</v>
      </c>
      <c r="AJ155" s="176">
        <f t="shared" si="151"/>
        <v>1</v>
      </c>
      <c r="AK155" s="176" t="e">
        <f t="shared" si="152"/>
        <v>#DIV/0!</v>
      </c>
      <c r="AL155" s="176" t="e">
        <f t="shared" si="153"/>
        <v>#DIV/0!</v>
      </c>
      <c r="AM155" s="176" t="e">
        <f t="shared" si="154"/>
        <v>#DIV/0!</v>
      </c>
      <c r="AN155" s="176" t="e">
        <f t="shared" si="155"/>
        <v>#DIV/0!</v>
      </c>
      <c r="AO155" s="176">
        <f t="shared" si="156"/>
        <v>1</v>
      </c>
      <c r="AP155" s="176" t="e">
        <f t="shared" si="157"/>
        <v>#DIV/0!</v>
      </c>
      <c r="AQ155" s="176" t="e">
        <f t="shared" si="158"/>
        <v>#DIV/0!</v>
      </c>
      <c r="AR155" s="176" t="e">
        <f t="shared" si="159"/>
        <v>#DIV/0!</v>
      </c>
      <c r="AS155" s="176" t="e">
        <f t="shared" si="160"/>
        <v>#DIV/0!</v>
      </c>
      <c r="AT155" s="176" t="e">
        <f t="shared" si="161"/>
        <v>#DIV/0!</v>
      </c>
      <c r="AU155" s="176">
        <f t="shared" si="162"/>
        <v>1</v>
      </c>
      <c r="AV155" s="176">
        <f t="shared" si="163"/>
        <v>1</v>
      </c>
    </row>
    <row r="156" spans="1:48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71"/>
        <v>1050000</v>
      </c>
      <c r="P156" s="21">
        <f t="shared" si="177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61">
        <v>0</v>
      </c>
      <c r="X156" s="21"/>
      <c r="Y156" s="21"/>
      <c r="Z156" s="21"/>
      <c r="AA156" s="21"/>
      <c r="AB156" s="21"/>
      <c r="AC156" s="21"/>
      <c r="AD156" s="21"/>
      <c r="AE156" s="21"/>
      <c r="AF156" s="261">
        <f t="shared" si="149"/>
        <v>0</v>
      </c>
      <c r="AG156" s="21">
        <f t="shared" si="150"/>
        <v>0</v>
      </c>
      <c r="AI156" s="176" t="e">
        <f t="shared" si="164"/>
        <v>#DIV/0!</v>
      </c>
      <c r="AJ156" s="176" t="e">
        <f t="shared" si="151"/>
        <v>#DIV/0!</v>
      </c>
      <c r="AK156" s="176">
        <f t="shared" si="152"/>
        <v>1</v>
      </c>
      <c r="AL156" s="176">
        <f t="shared" si="153"/>
        <v>1</v>
      </c>
      <c r="AM156" s="176" t="e">
        <f t="shared" si="154"/>
        <v>#DIV/0!</v>
      </c>
      <c r="AN156" s="176" t="e">
        <f t="shared" si="155"/>
        <v>#DIV/0!</v>
      </c>
      <c r="AO156" s="176" t="e">
        <f t="shared" si="156"/>
        <v>#DIV/0!</v>
      </c>
      <c r="AP156" s="176">
        <f t="shared" si="157"/>
        <v>1</v>
      </c>
      <c r="AQ156" s="176">
        <f t="shared" si="158"/>
        <v>1</v>
      </c>
      <c r="AR156" s="176" t="e">
        <f t="shared" si="159"/>
        <v>#DIV/0!</v>
      </c>
      <c r="AS156" s="176" t="e">
        <f t="shared" si="160"/>
        <v>#DIV/0!</v>
      </c>
      <c r="AT156" s="176" t="e">
        <f t="shared" si="161"/>
        <v>#DIV/0!</v>
      </c>
      <c r="AU156" s="176">
        <f t="shared" si="162"/>
        <v>1</v>
      </c>
      <c r="AV156" s="176">
        <f t="shared" si="163"/>
        <v>1</v>
      </c>
    </row>
    <row r="157" spans="1:48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71"/>
        <v>1600000</v>
      </c>
      <c r="P157" s="21">
        <f t="shared" si="177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0</v>
      </c>
      <c r="W157" s="261">
        <v>0</v>
      </c>
      <c r="X157" s="21"/>
      <c r="Y157" s="21"/>
      <c r="Z157" s="21"/>
      <c r="AA157" s="21"/>
      <c r="AB157" s="21"/>
      <c r="AC157" s="21"/>
      <c r="AD157" s="21"/>
      <c r="AE157" s="21"/>
      <c r="AF157" s="261">
        <f t="shared" si="149"/>
        <v>1500000</v>
      </c>
      <c r="AG157" s="21">
        <f t="shared" si="150"/>
        <v>1500000</v>
      </c>
      <c r="AI157" s="176">
        <f t="shared" si="164"/>
        <v>-2.75</v>
      </c>
      <c r="AJ157" s="176">
        <f t="shared" si="151"/>
        <v>1</v>
      </c>
      <c r="AK157" s="176">
        <f t="shared" si="152"/>
        <v>1</v>
      </c>
      <c r="AL157" s="176">
        <f t="shared" si="153"/>
        <v>1</v>
      </c>
      <c r="AM157" s="176">
        <f t="shared" si="154"/>
        <v>1</v>
      </c>
      <c r="AN157" s="176">
        <f t="shared" si="155"/>
        <v>1</v>
      </c>
      <c r="AO157" s="176">
        <f t="shared" si="156"/>
        <v>1</v>
      </c>
      <c r="AP157" s="176">
        <f t="shared" si="157"/>
        <v>1</v>
      </c>
      <c r="AQ157" s="176">
        <f t="shared" si="158"/>
        <v>1</v>
      </c>
      <c r="AR157" s="176">
        <f t="shared" si="159"/>
        <v>1</v>
      </c>
      <c r="AS157" s="176">
        <f t="shared" si="160"/>
        <v>1</v>
      </c>
      <c r="AT157" s="176">
        <f t="shared" si="161"/>
        <v>1</v>
      </c>
      <c r="AU157" s="176">
        <f t="shared" si="162"/>
        <v>6.25E-2</v>
      </c>
      <c r="AV157" s="176">
        <f t="shared" si="163"/>
        <v>0.6875</v>
      </c>
    </row>
    <row r="158" spans="1:48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71"/>
        <v>7500000</v>
      </c>
      <c r="P158" s="21">
        <f t="shared" si="177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0</v>
      </c>
      <c r="W158" s="261">
        <v>0</v>
      </c>
      <c r="X158" s="21"/>
      <c r="Y158" s="21"/>
      <c r="Z158" s="21"/>
      <c r="AA158" s="21"/>
      <c r="AB158" s="21"/>
      <c r="AC158" s="21"/>
      <c r="AD158" s="21"/>
      <c r="AE158" s="21"/>
      <c r="AF158" s="261">
        <f t="shared" si="149"/>
        <v>3600000</v>
      </c>
      <c r="AG158" s="21">
        <f t="shared" si="150"/>
        <v>3600000</v>
      </c>
      <c r="AI158" s="176" t="e">
        <f t="shared" si="164"/>
        <v>#DIV/0!</v>
      </c>
      <c r="AJ158" s="176" t="e">
        <f t="shared" si="151"/>
        <v>#DIV/0!</v>
      </c>
      <c r="AK158" s="176">
        <f t="shared" si="152"/>
        <v>1</v>
      </c>
      <c r="AL158" s="176">
        <f t="shared" si="153"/>
        <v>1</v>
      </c>
      <c r="AM158" s="176" t="e">
        <f t="shared" si="154"/>
        <v>#DIV/0!</v>
      </c>
      <c r="AN158" s="176" t="e">
        <f t="shared" si="155"/>
        <v>#DIV/0!</v>
      </c>
      <c r="AO158" s="176" t="e">
        <f t="shared" si="156"/>
        <v>#DIV/0!</v>
      </c>
      <c r="AP158" s="176" t="e">
        <f t="shared" si="157"/>
        <v>#DIV/0!</v>
      </c>
      <c r="AQ158" s="176" t="e">
        <f t="shared" si="158"/>
        <v>#DIV/0!</v>
      </c>
      <c r="AR158" s="176" t="e">
        <f t="shared" si="159"/>
        <v>#DIV/0!</v>
      </c>
      <c r="AS158" s="176" t="e">
        <f t="shared" si="160"/>
        <v>#DIV/0!</v>
      </c>
      <c r="AT158" s="176" t="e">
        <f t="shared" si="161"/>
        <v>#DIV/0!</v>
      </c>
      <c r="AU158" s="176">
        <f t="shared" si="162"/>
        <v>0.52</v>
      </c>
      <c r="AV158" s="176">
        <f t="shared" si="163"/>
        <v>0.52</v>
      </c>
    </row>
    <row r="159" spans="1:48" x14ac:dyDescent="0.25">
      <c r="A159" s="7" t="s">
        <v>283</v>
      </c>
      <c r="B159" s="8" t="s">
        <v>284</v>
      </c>
      <c r="C159" s="9">
        <f t="shared" ref="C159:N159" si="180">SUM(C160:C162)</f>
        <v>3166666</v>
      </c>
      <c r="D159" s="9">
        <f t="shared" si="180"/>
        <v>6366666</v>
      </c>
      <c r="E159" s="9">
        <f t="shared" si="180"/>
        <v>6799999.333333334</v>
      </c>
      <c r="F159" s="9">
        <f t="shared" si="180"/>
        <v>6199999.333333334</v>
      </c>
      <c r="G159" s="9">
        <f t="shared" si="180"/>
        <v>6199999.333333334</v>
      </c>
      <c r="H159" s="9">
        <f t="shared" si="180"/>
        <v>6199999.333333334</v>
      </c>
      <c r="I159" s="9">
        <f t="shared" si="180"/>
        <v>6699999.333333334</v>
      </c>
      <c r="J159" s="9">
        <f t="shared" si="180"/>
        <v>6200001.333333334</v>
      </c>
      <c r="K159" s="9">
        <f t="shared" si="180"/>
        <v>6200000.333333334</v>
      </c>
      <c r="L159" s="9">
        <f t="shared" si="180"/>
        <v>6200001.333333334</v>
      </c>
      <c r="M159" s="9">
        <f t="shared" si="180"/>
        <v>6200002.333333334</v>
      </c>
      <c r="N159" s="9">
        <f t="shared" si="180"/>
        <v>6199999.333333334</v>
      </c>
      <c r="O159" s="9">
        <f t="shared" si="171"/>
        <v>22533330.666666668</v>
      </c>
      <c r="P159" s="9">
        <f t="shared" si="177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f t="shared" ref="W159" si="181">+W160+W161+W162</f>
        <v>11772163</v>
      </c>
      <c r="X159" s="9"/>
      <c r="Y159" s="9"/>
      <c r="Z159" s="9"/>
      <c r="AA159" s="9"/>
      <c r="AB159" s="9"/>
      <c r="AC159" s="9"/>
      <c r="AD159" s="9"/>
      <c r="AE159" s="9"/>
      <c r="AF159" s="9">
        <f t="shared" si="149"/>
        <v>68930130</v>
      </c>
      <c r="AG159" s="9">
        <f t="shared" si="150"/>
        <v>68930130</v>
      </c>
      <c r="AI159" s="175">
        <f t="shared" si="164"/>
        <v>-16.463161571191911</v>
      </c>
      <c r="AJ159" s="175">
        <f t="shared" si="151"/>
        <v>1</v>
      </c>
      <c r="AK159" s="175">
        <f t="shared" si="152"/>
        <v>0.72676953203622863</v>
      </c>
      <c r="AL159" s="175">
        <f t="shared" si="153"/>
        <v>-0.89873617190711508</v>
      </c>
      <c r="AM159" s="175">
        <f t="shared" si="154"/>
        <v>1</v>
      </c>
      <c r="AN159" s="175">
        <f t="shared" si="155"/>
        <v>1</v>
      </c>
      <c r="AO159" s="175">
        <f t="shared" si="156"/>
        <v>1</v>
      </c>
      <c r="AP159" s="175">
        <f t="shared" si="157"/>
        <v>1</v>
      </c>
      <c r="AQ159" s="175">
        <f t="shared" si="158"/>
        <v>1</v>
      </c>
      <c r="AR159" s="175">
        <f t="shared" si="159"/>
        <v>1</v>
      </c>
      <c r="AS159" s="175">
        <f t="shared" si="160"/>
        <v>1</v>
      </c>
      <c r="AT159" s="175">
        <f t="shared" si="161"/>
        <v>1</v>
      </c>
      <c r="AU159" s="175">
        <f t="shared" si="162"/>
        <v>-2.0590297998851832</v>
      </c>
      <c r="AV159" s="175">
        <f t="shared" si="163"/>
        <v>5.098490133088586E-2</v>
      </c>
    </row>
    <row r="160" spans="1:48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71"/>
        <v>10666664</v>
      </c>
      <c r="P160" s="21">
        <f t="shared" si="177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61">
        <v>7642506</v>
      </c>
      <c r="X160" s="21"/>
      <c r="Y160" s="21"/>
      <c r="Z160" s="21"/>
      <c r="AA160" s="21"/>
      <c r="AB160" s="21"/>
      <c r="AC160" s="21"/>
      <c r="AD160" s="21"/>
      <c r="AE160" s="21"/>
      <c r="AF160" s="261">
        <f t="shared" si="149"/>
        <v>39642506</v>
      </c>
      <c r="AG160" s="21">
        <f t="shared" si="150"/>
        <v>39642506</v>
      </c>
      <c r="AI160" s="176">
        <f t="shared" si="164"/>
        <v>-11.000003000000749</v>
      </c>
      <c r="AJ160" s="176">
        <f t="shared" si="151"/>
        <v>1</v>
      </c>
      <c r="AK160" s="176">
        <f t="shared" si="152"/>
        <v>1</v>
      </c>
      <c r="AL160" s="176">
        <f t="shared" si="153"/>
        <v>-1.8659404664851167</v>
      </c>
      <c r="AM160" s="176">
        <f t="shared" si="154"/>
        <v>1</v>
      </c>
      <c r="AN160" s="176">
        <f t="shared" si="155"/>
        <v>1</v>
      </c>
      <c r="AO160" s="176">
        <f t="shared" si="156"/>
        <v>1</v>
      </c>
      <c r="AP160" s="176">
        <f t="shared" si="157"/>
        <v>1</v>
      </c>
      <c r="AQ160" s="176">
        <f t="shared" si="158"/>
        <v>1</v>
      </c>
      <c r="AR160" s="176">
        <f t="shared" si="159"/>
        <v>1</v>
      </c>
      <c r="AS160" s="176">
        <f t="shared" si="160"/>
        <v>1</v>
      </c>
      <c r="AT160" s="176">
        <f t="shared" si="161"/>
        <v>1</v>
      </c>
      <c r="AU160" s="176">
        <f t="shared" si="162"/>
        <v>-2.7164858666214666</v>
      </c>
      <c r="AV160" s="176">
        <f t="shared" si="163"/>
        <v>-0.2388283125</v>
      </c>
    </row>
    <row r="161" spans="1:48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71"/>
        <v>11566666.666666668</v>
      </c>
      <c r="P161" s="21">
        <f t="shared" si="177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1857967</v>
      </c>
      <c r="W161" s="261">
        <v>4129657</v>
      </c>
      <c r="X161" s="21"/>
      <c r="Y161" s="21"/>
      <c r="Z161" s="21"/>
      <c r="AA161" s="21"/>
      <c r="AB161" s="21"/>
      <c r="AC161" s="21"/>
      <c r="AD161" s="21"/>
      <c r="AE161" s="21"/>
      <c r="AF161" s="261">
        <f t="shared" si="149"/>
        <v>29287624</v>
      </c>
      <c r="AG161" s="21">
        <f t="shared" si="150"/>
        <v>29287624</v>
      </c>
      <c r="AI161" s="176">
        <f t="shared" si="164"/>
        <v>-115.5</v>
      </c>
      <c r="AJ161" s="176">
        <f t="shared" si="151"/>
        <v>1</v>
      </c>
      <c r="AK161" s="176">
        <f t="shared" si="152"/>
        <v>0.55049185483870966</v>
      </c>
      <c r="AL161" s="176">
        <f t="shared" si="153"/>
        <v>-0.16877084905660372</v>
      </c>
      <c r="AM161" s="176">
        <f t="shared" si="154"/>
        <v>1</v>
      </c>
      <c r="AN161" s="176">
        <f t="shared" si="155"/>
        <v>1</v>
      </c>
      <c r="AO161" s="176">
        <f t="shared" si="156"/>
        <v>1</v>
      </c>
      <c r="AP161" s="176">
        <f t="shared" si="157"/>
        <v>1</v>
      </c>
      <c r="AQ161" s="176">
        <f t="shared" si="158"/>
        <v>1</v>
      </c>
      <c r="AR161" s="176">
        <f t="shared" si="159"/>
        <v>1</v>
      </c>
      <c r="AS161" s="176">
        <f t="shared" si="160"/>
        <v>1</v>
      </c>
      <c r="AT161" s="176">
        <f t="shared" si="161"/>
        <v>1</v>
      </c>
      <c r="AU161" s="176">
        <f t="shared" si="162"/>
        <v>-1.5320712391930833</v>
      </c>
      <c r="AV161" s="176">
        <f t="shared" si="163"/>
        <v>0.27386056198347114</v>
      </c>
    </row>
    <row r="162" spans="1:48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71"/>
        <v>300000</v>
      </c>
      <c r="P162" s="21">
        <f t="shared" si="177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61">
        <v>0</v>
      </c>
      <c r="X162" s="21"/>
      <c r="Y162" s="21"/>
      <c r="Z162" s="21"/>
      <c r="AA162" s="21"/>
      <c r="AB162" s="21"/>
      <c r="AC162" s="21"/>
      <c r="AD162" s="21"/>
      <c r="AE162" s="21"/>
      <c r="AF162" s="261">
        <f t="shared" si="149"/>
        <v>0</v>
      </c>
      <c r="AG162" s="21">
        <f t="shared" si="150"/>
        <v>0</v>
      </c>
      <c r="AI162" s="176">
        <f t="shared" si="164"/>
        <v>1</v>
      </c>
      <c r="AJ162" s="176" t="e">
        <f t="shared" si="151"/>
        <v>#DIV/0!</v>
      </c>
      <c r="AK162" s="176" t="e">
        <f t="shared" si="152"/>
        <v>#DIV/0!</v>
      </c>
      <c r="AL162" s="176" t="e">
        <f t="shared" si="153"/>
        <v>#DIV/0!</v>
      </c>
      <c r="AM162" s="176" t="e">
        <f t="shared" si="154"/>
        <v>#DIV/0!</v>
      </c>
      <c r="AN162" s="176" t="e">
        <f t="shared" si="155"/>
        <v>#DIV/0!</v>
      </c>
      <c r="AO162" s="176" t="e">
        <f t="shared" si="156"/>
        <v>#DIV/0!</v>
      </c>
      <c r="AP162" s="176" t="e">
        <f t="shared" si="157"/>
        <v>#DIV/0!</v>
      </c>
      <c r="AQ162" s="176" t="e">
        <f t="shared" si="158"/>
        <v>#DIV/0!</v>
      </c>
      <c r="AR162" s="176" t="e">
        <f t="shared" si="159"/>
        <v>#DIV/0!</v>
      </c>
      <c r="AS162" s="176" t="e">
        <f t="shared" si="160"/>
        <v>#DIV/0!</v>
      </c>
      <c r="AT162" s="176" t="e">
        <f t="shared" si="161"/>
        <v>#DIV/0!</v>
      </c>
      <c r="AU162" s="176">
        <f t="shared" si="162"/>
        <v>1</v>
      </c>
      <c r="AV162" s="176">
        <f t="shared" si="163"/>
        <v>1</v>
      </c>
    </row>
    <row r="163" spans="1:48" x14ac:dyDescent="0.25">
      <c r="A163" s="7" t="s">
        <v>291</v>
      </c>
      <c r="B163" s="8" t="s">
        <v>292</v>
      </c>
      <c r="C163" s="9">
        <f t="shared" ref="C163:N163" si="182">SUM(C164:C168)</f>
        <v>60800000</v>
      </c>
      <c r="D163" s="9">
        <f t="shared" si="182"/>
        <v>20786440</v>
      </c>
      <c r="E163" s="9">
        <f t="shared" si="182"/>
        <v>75000000</v>
      </c>
      <c r="F163" s="9">
        <f t="shared" si="182"/>
        <v>64487328</v>
      </c>
      <c r="G163" s="9">
        <f t="shared" si="182"/>
        <v>51500000</v>
      </c>
      <c r="H163" s="9">
        <f t="shared" si="182"/>
        <v>24000000</v>
      </c>
      <c r="I163" s="9">
        <f t="shared" si="182"/>
        <v>40500000</v>
      </c>
      <c r="J163" s="9">
        <f t="shared" si="182"/>
        <v>45000000</v>
      </c>
      <c r="K163" s="9">
        <f t="shared" si="182"/>
        <v>16500000</v>
      </c>
      <c r="L163" s="9">
        <f t="shared" si="182"/>
        <v>16500000</v>
      </c>
      <c r="M163" s="9">
        <f t="shared" si="182"/>
        <v>16500000</v>
      </c>
      <c r="N163" s="9">
        <f t="shared" si="182"/>
        <v>16500000</v>
      </c>
      <c r="O163" s="9">
        <f t="shared" si="171"/>
        <v>221073768</v>
      </c>
      <c r="P163" s="9">
        <f t="shared" si="177"/>
        <v>448073768</v>
      </c>
      <c r="R163" s="7" t="s">
        <v>291</v>
      </c>
      <c r="S163" s="8" t="s">
        <v>292</v>
      </c>
      <c r="T163" s="9">
        <f>SUM(T164:T168)</f>
        <v>151743786</v>
      </c>
      <c r="U163" s="9">
        <v>57775076</v>
      </c>
      <c r="V163" s="9">
        <v>11596849</v>
      </c>
      <c r="W163" s="9">
        <f t="shared" ref="W163" si="183">SUM(W164:W168)</f>
        <v>91035</v>
      </c>
      <c r="X163" s="9"/>
      <c r="Y163" s="9"/>
      <c r="Z163" s="9"/>
      <c r="AA163" s="9"/>
      <c r="AB163" s="9"/>
      <c r="AC163" s="9"/>
      <c r="AD163" s="9"/>
      <c r="AE163" s="9"/>
      <c r="AF163" s="9">
        <f t="shared" si="149"/>
        <v>221206746</v>
      </c>
      <c r="AG163" s="9">
        <f t="shared" si="150"/>
        <v>221206746</v>
      </c>
      <c r="AI163" s="175">
        <f t="shared" si="164"/>
        <v>-1.4957859539473684</v>
      </c>
      <c r="AJ163" s="175">
        <f t="shared" si="151"/>
        <v>-1.7794598786516596</v>
      </c>
      <c r="AK163" s="175">
        <f t="shared" si="152"/>
        <v>0.84537534666666669</v>
      </c>
      <c r="AL163" s="175">
        <f t="shared" si="153"/>
        <v>0.99858832730672298</v>
      </c>
      <c r="AM163" s="175">
        <f t="shared" si="154"/>
        <v>1</v>
      </c>
      <c r="AN163" s="175">
        <f t="shared" si="155"/>
        <v>1</v>
      </c>
      <c r="AO163" s="175">
        <f t="shared" si="156"/>
        <v>1</v>
      </c>
      <c r="AP163" s="175">
        <f t="shared" si="157"/>
        <v>1</v>
      </c>
      <c r="AQ163" s="175">
        <f t="shared" si="158"/>
        <v>1</v>
      </c>
      <c r="AR163" s="175">
        <f t="shared" si="159"/>
        <v>1</v>
      </c>
      <c r="AS163" s="175">
        <f t="shared" si="160"/>
        <v>1</v>
      </c>
      <c r="AT163" s="175">
        <f t="shared" si="161"/>
        <v>1</v>
      </c>
      <c r="AU163" s="175">
        <f t="shared" si="162"/>
        <v>-6.0150962822509094E-4</v>
      </c>
      <c r="AV163" s="175">
        <f t="shared" si="163"/>
        <v>0.50631623228610878</v>
      </c>
    </row>
    <row r="164" spans="1:48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71"/>
        <v>90000000</v>
      </c>
      <c r="P164" s="21">
        <f t="shared" si="177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0</v>
      </c>
      <c r="W164" s="261">
        <v>0</v>
      </c>
      <c r="X164" s="21"/>
      <c r="Y164" s="21"/>
      <c r="Z164" s="21"/>
      <c r="AA164" s="21"/>
      <c r="AB164" s="21"/>
      <c r="AC164" s="21"/>
      <c r="AD164" s="21"/>
      <c r="AE164" s="21"/>
      <c r="AF164" s="261">
        <f t="shared" si="149"/>
        <v>1600000</v>
      </c>
      <c r="AG164" s="21">
        <f t="shared" si="150"/>
        <v>1600000</v>
      </c>
      <c r="AI164" s="176">
        <f t="shared" si="164"/>
        <v>0.93333333333333335</v>
      </c>
      <c r="AJ164" s="176">
        <f t="shared" si="151"/>
        <v>1</v>
      </c>
      <c r="AK164" s="176">
        <f t="shared" si="152"/>
        <v>1</v>
      </c>
      <c r="AL164" s="176">
        <f t="shared" si="153"/>
        <v>1</v>
      </c>
      <c r="AM164" s="176">
        <f t="shared" si="154"/>
        <v>1</v>
      </c>
      <c r="AN164" s="176">
        <f t="shared" si="155"/>
        <v>1</v>
      </c>
      <c r="AO164" s="176">
        <f t="shared" si="156"/>
        <v>1</v>
      </c>
      <c r="AP164" s="176">
        <f t="shared" si="157"/>
        <v>1</v>
      </c>
      <c r="AQ164" s="176">
        <f t="shared" si="158"/>
        <v>1</v>
      </c>
      <c r="AR164" s="176">
        <f t="shared" si="159"/>
        <v>1</v>
      </c>
      <c r="AS164" s="176">
        <f t="shared" si="160"/>
        <v>1</v>
      </c>
      <c r="AT164" s="176">
        <f t="shared" si="161"/>
        <v>1</v>
      </c>
      <c r="AU164" s="176">
        <f t="shared" si="162"/>
        <v>0.98222222222222222</v>
      </c>
      <c r="AV164" s="176">
        <f t="shared" si="163"/>
        <v>0.99064327485380121</v>
      </c>
    </row>
    <row r="165" spans="1:48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71"/>
        <v>28273768</v>
      </c>
      <c r="P165" s="21">
        <f t="shared" si="177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61">
        <v>91035</v>
      </c>
      <c r="X165" s="21"/>
      <c r="Y165" s="21"/>
      <c r="Z165" s="21"/>
      <c r="AA165" s="21"/>
      <c r="AB165" s="21"/>
      <c r="AC165" s="21"/>
      <c r="AD165" s="21"/>
      <c r="AE165" s="21"/>
      <c r="AF165" s="261">
        <f t="shared" si="149"/>
        <v>8647270</v>
      </c>
      <c r="AG165" s="21">
        <f t="shared" si="150"/>
        <v>8647270</v>
      </c>
      <c r="AI165" s="176">
        <f t="shared" si="164"/>
        <v>0.99041426666666665</v>
      </c>
      <c r="AJ165" s="176" t="e">
        <f t="shared" si="151"/>
        <v>#DIV/0!</v>
      </c>
      <c r="AK165" s="176">
        <f t="shared" si="152"/>
        <v>-0.65700000000000003</v>
      </c>
      <c r="AL165" s="176">
        <f t="shared" si="153"/>
        <v>0.98899715341305194</v>
      </c>
      <c r="AM165" s="176">
        <f t="shared" si="154"/>
        <v>1</v>
      </c>
      <c r="AN165" s="176">
        <f t="shared" si="155"/>
        <v>1</v>
      </c>
      <c r="AO165" s="176">
        <f t="shared" si="156"/>
        <v>1</v>
      </c>
      <c r="AP165" s="176">
        <f t="shared" si="157"/>
        <v>1</v>
      </c>
      <c r="AQ165" s="176" t="e">
        <f t="shared" si="158"/>
        <v>#DIV/0!</v>
      </c>
      <c r="AR165" s="176" t="e">
        <f t="shared" si="159"/>
        <v>#DIV/0!</v>
      </c>
      <c r="AS165" s="176" t="e">
        <f t="shared" si="160"/>
        <v>#DIV/0!</v>
      </c>
      <c r="AT165" s="176" t="e">
        <f t="shared" si="161"/>
        <v>#DIV/0!</v>
      </c>
      <c r="AU165" s="176">
        <f t="shared" si="162"/>
        <v>0.69415926451684828</v>
      </c>
      <c r="AV165" s="176">
        <f t="shared" si="163"/>
        <v>0.82969020538322069</v>
      </c>
    </row>
    <row r="166" spans="1:48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71"/>
        <v>6300000</v>
      </c>
      <c r="P166" s="21">
        <f t="shared" si="177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61">
        <v>0</v>
      </c>
      <c r="X166" s="21"/>
      <c r="Y166" s="21"/>
      <c r="Z166" s="21"/>
      <c r="AA166" s="21"/>
      <c r="AB166" s="21"/>
      <c r="AC166" s="21"/>
      <c r="AD166" s="21"/>
      <c r="AE166" s="21"/>
      <c r="AF166" s="261">
        <f t="shared" si="149"/>
        <v>0</v>
      </c>
      <c r="AG166" s="21">
        <f t="shared" si="150"/>
        <v>0</v>
      </c>
      <c r="AI166" s="176">
        <f t="shared" si="164"/>
        <v>1</v>
      </c>
      <c r="AJ166" s="176" t="e">
        <f t="shared" si="151"/>
        <v>#DIV/0!</v>
      </c>
      <c r="AK166" s="176">
        <f t="shared" si="152"/>
        <v>1</v>
      </c>
      <c r="AL166" s="176" t="e">
        <f t="shared" si="153"/>
        <v>#DIV/0!</v>
      </c>
      <c r="AM166" s="176" t="e">
        <f t="shared" si="154"/>
        <v>#DIV/0!</v>
      </c>
      <c r="AN166" s="176" t="e">
        <f t="shared" si="155"/>
        <v>#DIV/0!</v>
      </c>
      <c r="AO166" s="176">
        <f t="shared" si="156"/>
        <v>1</v>
      </c>
      <c r="AP166" s="176" t="e">
        <f t="shared" si="157"/>
        <v>#DIV/0!</v>
      </c>
      <c r="AQ166" s="176" t="e">
        <f t="shared" si="158"/>
        <v>#DIV/0!</v>
      </c>
      <c r="AR166" s="176" t="e">
        <f t="shared" si="159"/>
        <v>#DIV/0!</v>
      </c>
      <c r="AS166" s="176" t="e">
        <f t="shared" si="160"/>
        <v>#DIV/0!</v>
      </c>
      <c r="AT166" s="176" t="e">
        <f t="shared" si="161"/>
        <v>#DIV/0!</v>
      </c>
      <c r="AU166" s="176">
        <f t="shared" si="162"/>
        <v>1</v>
      </c>
      <c r="AV166" s="176">
        <f t="shared" si="163"/>
        <v>1</v>
      </c>
    </row>
    <row r="167" spans="1:48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71"/>
        <v>46500000</v>
      </c>
      <c r="P167" s="21">
        <f t="shared" si="177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61">
        <v>0</v>
      </c>
      <c r="X167" s="21"/>
      <c r="Y167" s="21"/>
      <c r="Z167" s="21"/>
      <c r="AA167" s="21"/>
      <c r="AB167" s="21"/>
      <c r="AC167" s="21"/>
      <c r="AD167" s="21"/>
      <c r="AE167" s="21"/>
      <c r="AF167" s="261">
        <f t="shared" si="149"/>
        <v>0</v>
      </c>
      <c r="AG167" s="21">
        <f t="shared" si="150"/>
        <v>0</v>
      </c>
      <c r="AI167" s="176">
        <f t="shared" si="164"/>
        <v>1</v>
      </c>
      <c r="AJ167" s="176" t="e">
        <f t="shared" si="151"/>
        <v>#DIV/0!</v>
      </c>
      <c r="AK167" s="176">
        <f t="shared" si="152"/>
        <v>1</v>
      </c>
      <c r="AL167" s="176">
        <f t="shared" si="153"/>
        <v>1</v>
      </c>
      <c r="AM167" s="176" t="e">
        <f t="shared" si="154"/>
        <v>#DIV/0!</v>
      </c>
      <c r="AN167" s="176" t="e">
        <f t="shared" si="155"/>
        <v>#DIV/0!</v>
      </c>
      <c r="AO167" s="176" t="e">
        <f t="shared" si="156"/>
        <v>#DIV/0!</v>
      </c>
      <c r="AP167" s="176">
        <f t="shared" si="157"/>
        <v>1</v>
      </c>
      <c r="AQ167" s="176" t="e">
        <f t="shared" si="158"/>
        <v>#DIV/0!</v>
      </c>
      <c r="AR167" s="176" t="e">
        <f t="shared" si="159"/>
        <v>#DIV/0!</v>
      </c>
      <c r="AS167" s="176" t="e">
        <f t="shared" si="160"/>
        <v>#DIV/0!</v>
      </c>
      <c r="AT167" s="176" t="e">
        <f t="shared" si="161"/>
        <v>#DIV/0!</v>
      </c>
      <c r="AU167" s="176">
        <f t="shared" si="162"/>
        <v>1</v>
      </c>
      <c r="AV167" s="176">
        <f t="shared" si="163"/>
        <v>1</v>
      </c>
    </row>
    <row r="168" spans="1:48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71"/>
        <v>50000000</v>
      </c>
      <c r="P168" s="21">
        <f t="shared" si="177"/>
        <v>150000000</v>
      </c>
      <c r="R168" s="2" t="s">
        <v>301</v>
      </c>
      <c r="S168" s="19" t="s">
        <v>302</v>
      </c>
      <c r="T168" s="21">
        <v>150000000</v>
      </c>
      <c r="U168" s="21">
        <v>57647627</v>
      </c>
      <c r="V168" s="21">
        <v>3311849</v>
      </c>
      <c r="W168" s="261">
        <v>0</v>
      </c>
      <c r="X168" s="21"/>
      <c r="Y168" s="21"/>
      <c r="Z168" s="21"/>
      <c r="AA168" s="21"/>
      <c r="AB168" s="21"/>
      <c r="AC168" s="21"/>
      <c r="AD168" s="21"/>
      <c r="AE168" s="21"/>
      <c r="AF168" s="261">
        <f t="shared" si="149"/>
        <v>210959476</v>
      </c>
      <c r="AG168" s="21">
        <f t="shared" si="150"/>
        <v>210959476</v>
      </c>
      <c r="AI168" s="176">
        <f t="shared" si="164"/>
        <v>-11</v>
      </c>
      <c r="AJ168" s="176">
        <f t="shared" si="151"/>
        <v>-3.6118101600000001</v>
      </c>
      <c r="AK168" s="176">
        <f t="shared" si="152"/>
        <v>0.73505208</v>
      </c>
      <c r="AL168" s="176">
        <f t="shared" si="153"/>
        <v>1</v>
      </c>
      <c r="AM168" s="176">
        <f t="shared" si="154"/>
        <v>1</v>
      </c>
      <c r="AN168" s="176">
        <f t="shared" si="155"/>
        <v>1</v>
      </c>
      <c r="AO168" s="176">
        <f t="shared" si="156"/>
        <v>1</v>
      </c>
      <c r="AP168" s="176">
        <f t="shared" si="157"/>
        <v>1</v>
      </c>
      <c r="AQ168" s="176">
        <f t="shared" si="158"/>
        <v>1</v>
      </c>
      <c r="AR168" s="176">
        <f t="shared" si="159"/>
        <v>1</v>
      </c>
      <c r="AS168" s="176">
        <f t="shared" si="160"/>
        <v>1</v>
      </c>
      <c r="AT168" s="176">
        <f t="shared" si="161"/>
        <v>1</v>
      </c>
      <c r="AU168" s="176">
        <f t="shared" si="162"/>
        <v>-3.21918952</v>
      </c>
      <c r="AV168" s="176">
        <f t="shared" si="163"/>
        <v>-0.40639650666666666</v>
      </c>
    </row>
    <row r="169" spans="1:48" x14ac:dyDescent="0.25">
      <c r="A169" s="7" t="s">
        <v>303</v>
      </c>
      <c r="B169" s="8" t="s">
        <v>304</v>
      </c>
      <c r="C169" s="9">
        <f t="shared" ref="C169:N169" si="184">SUM(C170:C174)</f>
        <v>45659777.777777776</v>
      </c>
      <c r="D169" s="9">
        <f t="shared" si="184"/>
        <v>55459777.777777776</v>
      </c>
      <c r="E169" s="9">
        <f t="shared" si="184"/>
        <v>26459777.777777776</v>
      </c>
      <c r="F169" s="9">
        <f t="shared" si="184"/>
        <v>28796206.777777776</v>
      </c>
      <c r="G169" s="9">
        <f t="shared" si="184"/>
        <v>24159777.777777776</v>
      </c>
      <c r="H169" s="9">
        <f t="shared" si="184"/>
        <v>26159777.777777776</v>
      </c>
      <c r="I169" s="9">
        <f t="shared" si="184"/>
        <v>50384888.888888836</v>
      </c>
      <c r="J169" s="9">
        <f t="shared" si="184"/>
        <v>26159777.777777776</v>
      </c>
      <c r="K169" s="9">
        <f t="shared" si="184"/>
        <v>25652697.777777776</v>
      </c>
      <c r="L169" s="9">
        <f t="shared" si="184"/>
        <v>26159777.777777776</v>
      </c>
      <c r="M169" s="9">
        <f t="shared" si="184"/>
        <v>24159777.777777776</v>
      </c>
      <c r="N169" s="9">
        <f t="shared" si="184"/>
        <v>5033333.3333333321</v>
      </c>
      <c r="O169" s="9">
        <f t="shared" si="171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54898845</v>
      </c>
      <c r="U169" s="9">
        <v>3468500</v>
      </c>
      <c r="V169" s="9">
        <v>31257623</v>
      </c>
      <c r="W169" s="9">
        <f t="shared" ref="W169" si="185">SUM(W170:W174)</f>
        <v>12871200</v>
      </c>
      <c r="X169" s="9"/>
      <c r="Y169" s="9"/>
      <c r="Z169" s="9"/>
      <c r="AA169" s="9"/>
      <c r="AB169" s="9"/>
      <c r="AC169" s="9"/>
      <c r="AD169" s="9"/>
      <c r="AE169" s="9"/>
      <c r="AF169" s="9">
        <f t="shared" si="149"/>
        <v>102496168</v>
      </c>
      <c r="AG169" s="9">
        <f t="shared" si="150"/>
        <v>102496168</v>
      </c>
      <c r="AI169" s="175">
        <f t="shared" si="164"/>
        <v>-0.20234586482632422</v>
      </c>
      <c r="AJ169" s="175">
        <f t="shared" si="151"/>
        <v>0.93745917962567471</v>
      </c>
      <c r="AK169" s="175">
        <f t="shared" si="152"/>
        <v>-0.18132598325340776</v>
      </c>
      <c r="AL169" s="175">
        <f t="shared" si="153"/>
        <v>0.55302446258537108</v>
      </c>
      <c r="AM169" s="175">
        <f t="shared" si="154"/>
        <v>1</v>
      </c>
      <c r="AN169" s="175">
        <f t="shared" si="155"/>
        <v>1</v>
      </c>
      <c r="AO169" s="175">
        <f t="shared" si="156"/>
        <v>1</v>
      </c>
      <c r="AP169" s="175">
        <f t="shared" si="157"/>
        <v>1</v>
      </c>
      <c r="AQ169" s="175">
        <f t="shared" si="158"/>
        <v>1</v>
      </c>
      <c r="AR169" s="175">
        <f t="shared" si="159"/>
        <v>1</v>
      </c>
      <c r="AS169" s="175">
        <f t="shared" si="160"/>
        <v>1</v>
      </c>
      <c r="AT169" s="175">
        <f t="shared" si="161"/>
        <v>1</v>
      </c>
      <c r="AU169" s="175">
        <f t="shared" si="162"/>
        <v>0.34455114957766186</v>
      </c>
      <c r="AV169" s="175">
        <f t="shared" si="163"/>
        <v>0.71860678995245042</v>
      </c>
    </row>
    <row r="170" spans="1:48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71"/>
        <v>16133333.33333333</v>
      </c>
      <c r="P170" s="21">
        <f t="shared" ref="P170:P184" si="186">SUM(C170:N170)</f>
        <v>48400000</v>
      </c>
      <c r="R170" s="2" t="s">
        <v>305</v>
      </c>
      <c r="S170" s="19" t="s">
        <v>306</v>
      </c>
      <c r="T170" s="21">
        <v>2271808</v>
      </c>
      <c r="U170" s="21">
        <v>0</v>
      </c>
      <c r="V170" s="21">
        <v>0</v>
      </c>
      <c r="W170" s="261">
        <v>0</v>
      </c>
      <c r="X170" s="21"/>
      <c r="Y170" s="21"/>
      <c r="Z170" s="21"/>
      <c r="AA170" s="21"/>
      <c r="AB170" s="21"/>
      <c r="AC170" s="21"/>
      <c r="AD170" s="21"/>
      <c r="AE170" s="21"/>
      <c r="AF170" s="261">
        <f t="shared" si="149"/>
        <v>2271808</v>
      </c>
      <c r="AG170" s="21">
        <f t="shared" si="150"/>
        <v>2271808</v>
      </c>
      <c r="AI170" s="176">
        <f t="shared" si="164"/>
        <v>0.43674181818181806</v>
      </c>
      <c r="AJ170" s="176">
        <f t="shared" si="151"/>
        <v>1</v>
      </c>
      <c r="AK170" s="176">
        <f t="shared" si="152"/>
        <v>1</v>
      </c>
      <c r="AL170" s="176">
        <f t="shared" si="153"/>
        <v>1</v>
      </c>
      <c r="AM170" s="176">
        <f t="shared" si="154"/>
        <v>1</v>
      </c>
      <c r="AN170" s="176">
        <f t="shared" si="155"/>
        <v>1</v>
      </c>
      <c r="AO170" s="176">
        <f t="shared" si="156"/>
        <v>1</v>
      </c>
      <c r="AP170" s="176">
        <f t="shared" si="157"/>
        <v>1</v>
      </c>
      <c r="AQ170" s="176">
        <f t="shared" si="158"/>
        <v>1</v>
      </c>
      <c r="AR170" s="176">
        <f t="shared" si="159"/>
        <v>1</v>
      </c>
      <c r="AS170" s="176">
        <f t="shared" si="160"/>
        <v>1</v>
      </c>
      <c r="AT170" s="176">
        <f t="shared" si="161"/>
        <v>1</v>
      </c>
      <c r="AU170" s="176">
        <f t="shared" si="162"/>
        <v>0.85918545454545447</v>
      </c>
      <c r="AV170" s="176">
        <f t="shared" si="163"/>
        <v>0.95306181818181823</v>
      </c>
    </row>
    <row r="171" spans="1:48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71"/>
        <v>93205777.777777776</v>
      </c>
      <c r="P171" s="21">
        <f t="shared" si="186"/>
        <v>244815999.99999997</v>
      </c>
      <c r="R171" s="2" t="s">
        <v>307</v>
      </c>
      <c r="S171" s="19" t="s">
        <v>308</v>
      </c>
      <c r="T171" s="21">
        <v>51127037</v>
      </c>
      <c r="U171" s="21">
        <v>1968500</v>
      </c>
      <c r="V171" s="21">
        <v>31257623</v>
      </c>
      <c r="W171" s="261">
        <v>12671200</v>
      </c>
      <c r="X171" s="21"/>
      <c r="Y171" s="21"/>
      <c r="Z171" s="21"/>
      <c r="AA171" s="21"/>
      <c r="AB171" s="21"/>
      <c r="AC171" s="21"/>
      <c r="AD171" s="21"/>
      <c r="AE171" s="21"/>
      <c r="AF171" s="261">
        <f t="shared" si="149"/>
        <v>97024360</v>
      </c>
      <c r="AG171" s="21">
        <f t="shared" si="150"/>
        <v>97024360</v>
      </c>
      <c r="AI171" s="176">
        <f t="shared" si="164"/>
        <v>-1.5402915622343187</v>
      </c>
      <c r="AJ171" s="176">
        <f t="shared" si="151"/>
        <v>0.93966550650801328</v>
      </c>
      <c r="AK171" s="176">
        <f t="shared" si="152"/>
        <v>-0.55306234473164106</v>
      </c>
      <c r="AL171" s="176">
        <f t="shared" si="153"/>
        <v>0.37661502804228753</v>
      </c>
      <c r="AM171" s="176">
        <f t="shared" si="154"/>
        <v>1</v>
      </c>
      <c r="AN171" s="176">
        <f t="shared" si="155"/>
        <v>1</v>
      </c>
      <c r="AO171" s="176">
        <f t="shared" si="156"/>
        <v>1</v>
      </c>
      <c r="AP171" s="176">
        <f t="shared" si="157"/>
        <v>1</v>
      </c>
      <c r="AQ171" s="176">
        <f t="shared" si="158"/>
        <v>1</v>
      </c>
      <c r="AR171" s="176">
        <f t="shared" si="159"/>
        <v>1</v>
      </c>
      <c r="AS171" s="176">
        <f t="shared" si="160"/>
        <v>1</v>
      </c>
      <c r="AT171" s="176">
        <f t="shared" si="161"/>
        <v>1</v>
      </c>
      <c r="AU171" s="176">
        <f t="shared" si="162"/>
        <v>-4.0969372428032613E-2</v>
      </c>
      <c r="AV171" s="176">
        <f t="shared" si="163"/>
        <v>0.60368456310045093</v>
      </c>
    </row>
    <row r="172" spans="1:48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71"/>
        <v>41336429</v>
      </c>
      <c r="P172" s="21">
        <f t="shared" si="186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0</v>
      </c>
      <c r="W172" s="261">
        <v>200000</v>
      </c>
      <c r="X172" s="21"/>
      <c r="Y172" s="21"/>
      <c r="Z172" s="21"/>
      <c r="AA172" s="21"/>
      <c r="AB172" s="21"/>
      <c r="AC172" s="21"/>
      <c r="AD172" s="21"/>
      <c r="AE172" s="21"/>
      <c r="AF172" s="261">
        <f t="shared" si="149"/>
        <v>3200000</v>
      </c>
      <c r="AG172" s="21">
        <f t="shared" si="150"/>
        <v>3200000</v>
      </c>
      <c r="AI172" s="176">
        <f t="shared" si="164"/>
        <v>0.92500000000000004</v>
      </c>
      <c r="AJ172" s="176">
        <f t="shared" si="151"/>
        <v>0.91017964071856283</v>
      </c>
      <c r="AK172" s="176">
        <f t="shared" si="152"/>
        <v>1</v>
      </c>
      <c r="AL172" s="176">
        <f t="shared" si="153"/>
        <v>0.91791265003002342</v>
      </c>
      <c r="AM172" s="176" t="e">
        <f t="shared" si="154"/>
        <v>#DIV/0!</v>
      </c>
      <c r="AN172" s="176" t="e">
        <f t="shared" si="155"/>
        <v>#DIV/0!</v>
      </c>
      <c r="AO172" s="176">
        <f t="shared" si="156"/>
        <v>1</v>
      </c>
      <c r="AP172" s="176" t="e">
        <f t="shared" si="157"/>
        <v>#DIV/0!</v>
      </c>
      <c r="AQ172" s="176">
        <f t="shared" si="158"/>
        <v>1</v>
      </c>
      <c r="AR172" s="176" t="e">
        <f t="shared" si="159"/>
        <v>#DIV/0!</v>
      </c>
      <c r="AS172" s="176" t="e">
        <f t="shared" si="160"/>
        <v>#DIV/0!</v>
      </c>
      <c r="AT172" s="176" t="e">
        <f t="shared" si="161"/>
        <v>#DIV/0!</v>
      </c>
      <c r="AU172" s="176">
        <f t="shared" si="162"/>
        <v>0.92258644306212323</v>
      </c>
      <c r="AV172" s="176">
        <f t="shared" si="163"/>
        <v>0.94606379382318861</v>
      </c>
    </row>
    <row r="173" spans="1:48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71"/>
        <v>1700000</v>
      </c>
      <c r="P173" s="21">
        <f t="shared" si="186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61">
        <v>0</v>
      </c>
      <c r="X173" s="21"/>
      <c r="Y173" s="21"/>
      <c r="Z173" s="21"/>
      <c r="AA173" s="21"/>
      <c r="AB173" s="21"/>
      <c r="AC173" s="21"/>
      <c r="AD173" s="21"/>
      <c r="AE173" s="21"/>
      <c r="AF173" s="261">
        <f t="shared" si="149"/>
        <v>0</v>
      </c>
      <c r="AG173" s="21">
        <f t="shared" si="150"/>
        <v>0</v>
      </c>
      <c r="AI173" s="176">
        <f t="shared" si="164"/>
        <v>1</v>
      </c>
      <c r="AJ173" s="176">
        <f t="shared" si="151"/>
        <v>1</v>
      </c>
      <c r="AK173" s="176">
        <f t="shared" si="152"/>
        <v>1</v>
      </c>
      <c r="AL173" s="176" t="e">
        <f t="shared" si="153"/>
        <v>#DIV/0!</v>
      </c>
      <c r="AM173" s="176" t="e">
        <f t="shared" si="154"/>
        <v>#DIV/0!</v>
      </c>
      <c r="AN173" s="176" t="e">
        <f t="shared" si="155"/>
        <v>#DIV/0!</v>
      </c>
      <c r="AO173" s="176" t="e">
        <f t="shared" si="156"/>
        <v>#DIV/0!</v>
      </c>
      <c r="AP173" s="176" t="e">
        <f t="shared" si="157"/>
        <v>#DIV/0!</v>
      </c>
      <c r="AQ173" s="176" t="e">
        <f t="shared" si="158"/>
        <v>#DIV/0!</v>
      </c>
      <c r="AR173" s="176" t="e">
        <f t="shared" si="159"/>
        <v>#DIV/0!</v>
      </c>
      <c r="AS173" s="176" t="e">
        <f t="shared" si="160"/>
        <v>#DIV/0!</v>
      </c>
      <c r="AT173" s="176" t="e">
        <f t="shared" si="161"/>
        <v>#DIV/0!</v>
      </c>
      <c r="AU173" s="176">
        <f t="shared" si="162"/>
        <v>1</v>
      </c>
      <c r="AV173" s="176">
        <f t="shared" si="163"/>
        <v>1</v>
      </c>
    </row>
    <row r="174" spans="1:48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71"/>
        <v>4000000</v>
      </c>
      <c r="P174" s="21">
        <f t="shared" si="186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61">
        <v>0</v>
      </c>
      <c r="X174" s="21"/>
      <c r="Y174" s="21"/>
      <c r="Z174" s="21"/>
      <c r="AA174" s="21"/>
      <c r="AB174" s="21"/>
      <c r="AC174" s="21"/>
      <c r="AD174" s="21"/>
      <c r="AE174" s="21"/>
      <c r="AF174" s="261">
        <f t="shared" si="149"/>
        <v>0</v>
      </c>
      <c r="AG174" s="21">
        <f t="shared" si="150"/>
        <v>0</v>
      </c>
      <c r="AI174" s="176" t="e">
        <f t="shared" si="164"/>
        <v>#DIV/0!</v>
      </c>
      <c r="AJ174" s="176">
        <f t="shared" si="151"/>
        <v>1</v>
      </c>
      <c r="AK174" s="176" t="e">
        <f t="shared" si="152"/>
        <v>#DIV/0!</v>
      </c>
      <c r="AL174" s="176">
        <f t="shared" si="153"/>
        <v>1</v>
      </c>
      <c r="AM174" s="176" t="e">
        <f t="shared" si="154"/>
        <v>#DIV/0!</v>
      </c>
      <c r="AN174" s="176">
        <f t="shared" si="155"/>
        <v>1</v>
      </c>
      <c r="AO174" s="176" t="e">
        <f t="shared" si="156"/>
        <v>#DIV/0!</v>
      </c>
      <c r="AP174" s="176">
        <f t="shared" si="157"/>
        <v>1</v>
      </c>
      <c r="AQ174" s="176" t="e">
        <f t="shared" si="158"/>
        <v>#DIV/0!</v>
      </c>
      <c r="AR174" s="176">
        <f t="shared" si="159"/>
        <v>1</v>
      </c>
      <c r="AS174" s="176" t="e">
        <f t="shared" si="160"/>
        <v>#DIV/0!</v>
      </c>
      <c r="AT174" s="176" t="e">
        <f t="shared" si="161"/>
        <v>#DIV/0!</v>
      </c>
      <c r="AU174" s="176">
        <f t="shared" si="162"/>
        <v>1</v>
      </c>
      <c r="AV174" s="176">
        <f t="shared" si="163"/>
        <v>1</v>
      </c>
    </row>
    <row r="175" spans="1:48" x14ac:dyDescent="0.25">
      <c r="A175" s="7" t="s">
        <v>315</v>
      </c>
      <c r="B175" s="8" t="s">
        <v>316</v>
      </c>
      <c r="C175" s="9">
        <f t="shared" ref="C175:N175" si="187">SUM(C176:C179)</f>
        <v>2000000</v>
      </c>
      <c r="D175" s="9">
        <f t="shared" si="187"/>
        <v>17000000</v>
      </c>
      <c r="E175" s="9">
        <f t="shared" si="187"/>
        <v>2000000</v>
      </c>
      <c r="F175" s="9">
        <f t="shared" si="187"/>
        <v>4300000</v>
      </c>
      <c r="G175" s="9">
        <f t="shared" si="187"/>
        <v>4000000</v>
      </c>
      <c r="H175" s="9">
        <f t="shared" si="187"/>
        <v>10000000</v>
      </c>
      <c r="I175" s="9">
        <f t="shared" si="187"/>
        <v>3000000</v>
      </c>
      <c r="J175" s="9">
        <f t="shared" si="187"/>
        <v>4900000</v>
      </c>
      <c r="K175" s="9">
        <f t="shared" si="187"/>
        <v>2000000</v>
      </c>
      <c r="L175" s="9">
        <f t="shared" si="187"/>
        <v>2000000</v>
      </c>
      <c r="M175" s="9">
        <f t="shared" si="187"/>
        <v>2000000</v>
      </c>
      <c r="N175" s="9">
        <f t="shared" si="187"/>
        <v>2000000</v>
      </c>
      <c r="O175" s="9">
        <f t="shared" si="171"/>
        <v>25300000</v>
      </c>
      <c r="P175" s="9">
        <f t="shared" si="186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f t="shared" ref="W175" si="188">SUM(W176:W179)</f>
        <v>0</v>
      </c>
      <c r="X175" s="9"/>
      <c r="Y175" s="9"/>
      <c r="Z175" s="9"/>
      <c r="AA175" s="9"/>
      <c r="AB175" s="9"/>
      <c r="AC175" s="9"/>
      <c r="AD175" s="9"/>
      <c r="AE175" s="9"/>
      <c r="AF175" s="9">
        <f t="shared" si="149"/>
        <v>1200000</v>
      </c>
      <c r="AG175" s="9">
        <f t="shared" si="150"/>
        <v>1200000</v>
      </c>
      <c r="AI175" s="175">
        <f t="shared" si="164"/>
        <v>0.4</v>
      </c>
      <c r="AJ175" s="175">
        <f t="shared" si="151"/>
        <v>1</v>
      </c>
      <c r="AK175" s="175">
        <f t="shared" si="152"/>
        <v>1</v>
      </c>
      <c r="AL175" s="175">
        <f t="shared" si="153"/>
        <v>1</v>
      </c>
      <c r="AM175" s="175">
        <f t="shared" si="154"/>
        <v>1</v>
      </c>
      <c r="AN175" s="175">
        <f t="shared" si="155"/>
        <v>1</v>
      </c>
      <c r="AO175" s="175">
        <f t="shared" si="156"/>
        <v>1</v>
      </c>
      <c r="AP175" s="175">
        <f t="shared" si="157"/>
        <v>1</v>
      </c>
      <c r="AQ175" s="175">
        <f t="shared" si="158"/>
        <v>1</v>
      </c>
      <c r="AR175" s="175">
        <f t="shared" si="159"/>
        <v>1</v>
      </c>
      <c r="AS175" s="175">
        <f t="shared" si="160"/>
        <v>1</v>
      </c>
      <c r="AT175" s="175">
        <f t="shared" si="161"/>
        <v>1</v>
      </c>
      <c r="AU175" s="175">
        <f t="shared" si="162"/>
        <v>0.95256916996047436</v>
      </c>
      <c r="AV175" s="175">
        <f t="shared" si="163"/>
        <v>0.97826086956521741</v>
      </c>
    </row>
    <row r="176" spans="1:48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71"/>
        <v>4000000</v>
      </c>
      <c r="P176" s="21">
        <f t="shared" si="186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61">
        <v>0</v>
      </c>
      <c r="X176" s="21"/>
      <c r="Y176" s="21"/>
      <c r="Z176" s="21"/>
      <c r="AA176" s="21"/>
      <c r="AB176" s="21"/>
      <c r="AC176" s="21"/>
      <c r="AD176" s="21"/>
      <c r="AE176" s="21"/>
      <c r="AF176" s="261">
        <f t="shared" si="149"/>
        <v>0</v>
      </c>
      <c r="AG176" s="21">
        <f t="shared" si="150"/>
        <v>0</v>
      </c>
      <c r="AI176" s="176" t="e">
        <f t="shared" si="164"/>
        <v>#DIV/0!</v>
      </c>
      <c r="AJ176" s="176">
        <f t="shared" si="151"/>
        <v>1</v>
      </c>
      <c r="AK176" s="176" t="e">
        <f t="shared" si="152"/>
        <v>#DIV/0!</v>
      </c>
      <c r="AL176" s="176" t="e">
        <f t="shared" si="153"/>
        <v>#DIV/0!</v>
      </c>
      <c r="AM176" s="176" t="e">
        <f t="shared" si="154"/>
        <v>#DIV/0!</v>
      </c>
      <c r="AN176" s="176" t="e">
        <f t="shared" si="155"/>
        <v>#DIV/0!</v>
      </c>
      <c r="AO176" s="176" t="e">
        <f t="shared" si="156"/>
        <v>#DIV/0!</v>
      </c>
      <c r="AP176" s="176" t="e">
        <f t="shared" si="157"/>
        <v>#DIV/0!</v>
      </c>
      <c r="AQ176" s="176" t="e">
        <f t="shared" si="158"/>
        <v>#DIV/0!</v>
      </c>
      <c r="AR176" s="176" t="e">
        <f t="shared" si="159"/>
        <v>#DIV/0!</v>
      </c>
      <c r="AS176" s="176" t="e">
        <f t="shared" si="160"/>
        <v>#DIV/0!</v>
      </c>
      <c r="AT176" s="176" t="e">
        <f t="shared" si="161"/>
        <v>#DIV/0!</v>
      </c>
      <c r="AU176" s="176">
        <f t="shared" si="162"/>
        <v>1</v>
      </c>
      <c r="AV176" s="176">
        <f t="shared" si="163"/>
        <v>1</v>
      </c>
    </row>
    <row r="177" spans="1:48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71"/>
        <v>1000000</v>
      </c>
      <c r="P177" s="21">
        <f t="shared" si="186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61">
        <v>0</v>
      </c>
      <c r="X177" s="21"/>
      <c r="Y177" s="21"/>
      <c r="Z177" s="21"/>
      <c r="AA177" s="21"/>
      <c r="AB177" s="21"/>
      <c r="AC177" s="21"/>
      <c r="AD177" s="21"/>
      <c r="AE177" s="21"/>
      <c r="AF177" s="261">
        <f t="shared" si="149"/>
        <v>0</v>
      </c>
      <c r="AG177" s="21">
        <f t="shared" si="150"/>
        <v>0</v>
      </c>
      <c r="AI177" s="176" t="e">
        <f t="shared" si="164"/>
        <v>#DIV/0!</v>
      </c>
      <c r="AJ177" s="176">
        <f t="shared" si="151"/>
        <v>1</v>
      </c>
      <c r="AK177" s="176" t="e">
        <f t="shared" si="152"/>
        <v>#DIV/0!</v>
      </c>
      <c r="AL177" s="176" t="e">
        <f t="shared" si="153"/>
        <v>#DIV/0!</v>
      </c>
      <c r="AM177" s="176" t="e">
        <f t="shared" si="154"/>
        <v>#DIV/0!</v>
      </c>
      <c r="AN177" s="176" t="e">
        <f t="shared" si="155"/>
        <v>#DIV/0!</v>
      </c>
      <c r="AO177" s="176">
        <f t="shared" si="156"/>
        <v>1</v>
      </c>
      <c r="AP177" s="176" t="e">
        <f t="shared" si="157"/>
        <v>#DIV/0!</v>
      </c>
      <c r="AQ177" s="176" t="e">
        <f t="shared" si="158"/>
        <v>#DIV/0!</v>
      </c>
      <c r="AR177" s="176" t="e">
        <f t="shared" si="159"/>
        <v>#DIV/0!</v>
      </c>
      <c r="AS177" s="176" t="e">
        <f t="shared" si="160"/>
        <v>#DIV/0!</v>
      </c>
      <c r="AT177" s="176" t="e">
        <f t="shared" si="161"/>
        <v>#DIV/0!</v>
      </c>
      <c r="AU177" s="176">
        <f t="shared" si="162"/>
        <v>1</v>
      </c>
      <c r="AV177" s="176">
        <f t="shared" si="163"/>
        <v>1</v>
      </c>
    </row>
    <row r="178" spans="1:48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71"/>
        <v>8300000</v>
      </c>
      <c r="P178" s="21">
        <f t="shared" si="186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>
        <v>0</v>
      </c>
      <c r="W178" s="261">
        <v>0</v>
      </c>
      <c r="X178" s="21"/>
      <c r="Y178" s="21"/>
      <c r="Z178" s="21"/>
      <c r="AA178" s="21"/>
      <c r="AB178" s="21"/>
      <c r="AC178" s="21"/>
      <c r="AD178" s="21"/>
      <c r="AE178" s="21"/>
      <c r="AF178" s="261">
        <f t="shared" si="149"/>
        <v>700000</v>
      </c>
      <c r="AG178" s="21">
        <f t="shared" si="150"/>
        <v>700000</v>
      </c>
      <c r="AI178" s="176">
        <f t="shared" si="164"/>
        <v>0.65</v>
      </c>
      <c r="AJ178" s="176">
        <f t="shared" si="151"/>
        <v>1</v>
      </c>
      <c r="AK178" s="176">
        <f t="shared" si="152"/>
        <v>1</v>
      </c>
      <c r="AL178" s="176">
        <f t="shared" si="153"/>
        <v>1</v>
      </c>
      <c r="AM178" s="176">
        <f t="shared" si="154"/>
        <v>1</v>
      </c>
      <c r="AN178" s="176">
        <f t="shared" si="155"/>
        <v>1</v>
      </c>
      <c r="AO178" s="176">
        <f t="shared" si="156"/>
        <v>1</v>
      </c>
      <c r="AP178" s="176">
        <f t="shared" si="157"/>
        <v>1</v>
      </c>
      <c r="AQ178" s="176">
        <f t="shared" si="158"/>
        <v>1</v>
      </c>
      <c r="AR178" s="176">
        <f t="shared" si="159"/>
        <v>1</v>
      </c>
      <c r="AS178" s="176">
        <f t="shared" si="160"/>
        <v>1</v>
      </c>
      <c r="AT178" s="176">
        <f t="shared" si="161"/>
        <v>1</v>
      </c>
      <c r="AU178" s="176">
        <f t="shared" si="162"/>
        <v>0.91566265060240959</v>
      </c>
      <c r="AV178" s="176">
        <f t="shared" si="163"/>
        <v>0.9711934156378601</v>
      </c>
    </row>
    <row r="179" spans="1:48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71"/>
        <v>12000000</v>
      </c>
      <c r="P179" s="21">
        <f t="shared" si="186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61">
        <v>0</v>
      </c>
      <c r="X179" s="21"/>
      <c r="Y179" s="21"/>
      <c r="Z179" s="21"/>
      <c r="AA179" s="21"/>
      <c r="AB179" s="21"/>
      <c r="AC179" s="21"/>
      <c r="AD179" s="21"/>
      <c r="AE179" s="21"/>
      <c r="AF179" s="261">
        <f t="shared" si="149"/>
        <v>500000</v>
      </c>
      <c r="AG179" s="21">
        <f t="shared" si="150"/>
        <v>500000</v>
      </c>
      <c r="AI179" s="176" t="e">
        <f t="shared" si="164"/>
        <v>#DIV/0!</v>
      </c>
      <c r="AJ179" s="176">
        <f t="shared" si="151"/>
        <v>1</v>
      </c>
      <c r="AK179" s="176" t="e">
        <f t="shared" si="152"/>
        <v>#DIV/0!</v>
      </c>
      <c r="AL179" s="176">
        <f t="shared" si="153"/>
        <v>1</v>
      </c>
      <c r="AM179" s="176">
        <f t="shared" si="154"/>
        <v>1</v>
      </c>
      <c r="AN179" s="176">
        <f t="shared" si="155"/>
        <v>1</v>
      </c>
      <c r="AO179" s="176" t="e">
        <f t="shared" si="156"/>
        <v>#DIV/0!</v>
      </c>
      <c r="AP179" s="176">
        <f t="shared" si="157"/>
        <v>1</v>
      </c>
      <c r="AQ179" s="176" t="e">
        <f t="shared" si="158"/>
        <v>#DIV/0!</v>
      </c>
      <c r="AR179" s="176" t="e">
        <f t="shared" si="159"/>
        <v>#DIV/0!</v>
      </c>
      <c r="AS179" s="176" t="e">
        <f t="shared" si="160"/>
        <v>#DIV/0!</v>
      </c>
      <c r="AT179" s="176" t="e">
        <f t="shared" si="161"/>
        <v>#DIV/0!</v>
      </c>
      <c r="AU179" s="176">
        <f t="shared" si="162"/>
        <v>0.95833333333333337</v>
      </c>
      <c r="AV179" s="176">
        <f t="shared" si="163"/>
        <v>0.97991967871485941</v>
      </c>
    </row>
    <row r="180" spans="1:48" x14ac:dyDescent="0.25">
      <c r="A180" s="7" t="s">
        <v>325</v>
      </c>
      <c r="B180" s="8" t="s">
        <v>326</v>
      </c>
      <c r="C180" s="9">
        <f t="shared" ref="C180:N180" si="189">SUM(C181:C184)</f>
        <v>11700000</v>
      </c>
      <c r="D180" s="9">
        <f t="shared" si="189"/>
        <v>9200000</v>
      </c>
      <c r="E180" s="9">
        <f t="shared" si="189"/>
        <v>15000000</v>
      </c>
      <c r="F180" s="9">
        <f t="shared" si="189"/>
        <v>6300000</v>
      </c>
      <c r="G180" s="9">
        <f t="shared" si="189"/>
        <v>6000000</v>
      </c>
      <c r="H180" s="9">
        <f t="shared" si="189"/>
        <v>6000000</v>
      </c>
      <c r="I180" s="9">
        <f t="shared" si="189"/>
        <v>14200000</v>
      </c>
      <c r="J180" s="9">
        <f t="shared" si="189"/>
        <v>6000000</v>
      </c>
      <c r="K180" s="9">
        <f t="shared" si="189"/>
        <v>6000000</v>
      </c>
      <c r="L180" s="9">
        <f t="shared" si="189"/>
        <v>6000000</v>
      </c>
      <c r="M180" s="9">
        <f t="shared" si="189"/>
        <v>6000000</v>
      </c>
      <c r="N180" s="9">
        <f t="shared" si="189"/>
        <v>6000000</v>
      </c>
      <c r="O180" s="9">
        <f t="shared" si="171"/>
        <v>42200000</v>
      </c>
      <c r="P180" s="9">
        <f t="shared" si="186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f t="shared" ref="W180" si="190">SUM(W181:W184)</f>
        <v>0</v>
      </c>
      <c r="X180" s="9"/>
      <c r="Y180" s="9"/>
      <c r="Z180" s="9"/>
      <c r="AA180" s="9"/>
      <c r="AB180" s="9"/>
      <c r="AC180" s="9"/>
      <c r="AD180" s="9"/>
      <c r="AE180" s="9"/>
      <c r="AF180" s="9">
        <f t="shared" si="149"/>
        <v>2500000</v>
      </c>
      <c r="AG180" s="9">
        <f t="shared" si="150"/>
        <v>2500000</v>
      </c>
      <c r="AI180" s="175">
        <f t="shared" si="164"/>
        <v>0.78632478632478631</v>
      </c>
      <c r="AJ180" s="175">
        <f t="shared" si="151"/>
        <v>1</v>
      </c>
      <c r="AK180" s="175">
        <f t="shared" si="152"/>
        <v>1</v>
      </c>
      <c r="AL180" s="175">
        <f t="shared" si="153"/>
        <v>1</v>
      </c>
      <c r="AM180" s="175">
        <f t="shared" si="154"/>
        <v>1</v>
      </c>
      <c r="AN180" s="175">
        <f t="shared" si="155"/>
        <v>1</v>
      </c>
      <c r="AO180" s="175">
        <f t="shared" si="156"/>
        <v>1</v>
      </c>
      <c r="AP180" s="175">
        <f t="shared" si="157"/>
        <v>1</v>
      </c>
      <c r="AQ180" s="175">
        <f t="shared" si="158"/>
        <v>1</v>
      </c>
      <c r="AR180" s="175">
        <f t="shared" si="159"/>
        <v>1</v>
      </c>
      <c r="AS180" s="175">
        <f t="shared" si="160"/>
        <v>1</v>
      </c>
      <c r="AT180" s="175">
        <f t="shared" si="161"/>
        <v>1</v>
      </c>
      <c r="AU180" s="175">
        <f t="shared" si="162"/>
        <v>0.94075829383886256</v>
      </c>
      <c r="AV180" s="175">
        <f t="shared" si="163"/>
        <v>0.97459349593495936</v>
      </c>
    </row>
    <row r="181" spans="1:48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71"/>
        <v>17200000</v>
      </c>
      <c r="P181" s="21">
        <f t="shared" si="186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61">
        <v>0</v>
      </c>
      <c r="X181" s="21"/>
      <c r="Y181" s="21"/>
      <c r="Z181" s="21"/>
      <c r="AA181" s="21"/>
      <c r="AB181" s="21"/>
      <c r="AC181" s="21"/>
      <c r="AD181" s="21"/>
      <c r="AE181" s="21"/>
      <c r="AF181" s="261">
        <f t="shared" si="149"/>
        <v>500000</v>
      </c>
      <c r="AG181" s="21">
        <f t="shared" si="150"/>
        <v>500000</v>
      </c>
      <c r="AI181" s="176">
        <f t="shared" si="164"/>
        <v>0.81481481481481477</v>
      </c>
      <c r="AJ181" s="176">
        <f t="shared" si="151"/>
        <v>1</v>
      </c>
      <c r="AK181" s="176">
        <f t="shared" si="152"/>
        <v>1</v>
      </c>
      <c r="AL181" s="176">
        <f t="shared" si="153"/>
        <v>1</v>
      </c>
      <c r="AM181" s="176">
        <f t="shared" si="154"/>
        <v>1</v>
      </c>
      <c r="AN181" s="176">
        <f t="shared" si="155"/>
        <v>1</v>
      </c>
      <c r="AO181" s="176">
        <f t="shared" si="156"/>
        <v>1</v>
      </c>
      <c r="AP181" s="176">
        <f t="shared" si="157"/>
        <v>1</v>
      </c>
      <c r="AQ181" s="176">
        <f t="shared" si="158"/>
        <v>1</v>
      </c>
      <c r="AR181" s="176">
        <f t="shared" si="159"/>
        <v>1</v>
      </c>
      <c r="AS181" s="176">
        <f t="shared" si="160"/>
        <v>1</v>
      </c>
      <c r="AT181" s="176">
        <f t="shared" si="161"/>
        <v>1</v>
      </c>
      <c r="AU181" s="176">
        <f t="shared" si="162"/>
        <v>0.97093023255813948</v>
      </c>
      <c r="AV181" s="176">
        <f t="shared" si="163"/>
        <v>0.98792270531400961</v>
      </c>
    </row>
    <row r="182" spans="1:48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71"/>
        <v>5000000</v>
      </c>
      <c r="P182" s="21">
        <f t="shared" si="186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61">
        <v>0</v>
      </c>
      <c r="X182" s="21"/>
      <c r="Y182" s="21"/>
      <c r="Z182" s="21"/>
      <c r="AA182" s="21"/>
      <c r="AB182" s="21"/>
      <c r="AC182" s="21"/>
      <c r="AD182" s="21"/>
      <c r="AE182" s="21"/>
      <c r="AF182" s="261">
        <f t="shared" si="149"/>
        <v>0</v>
      </c>
      <c r="AG182" s="21">
        <f t="shared" si="150"/>
        <v>0</v>
      </c>
      <c r="AI182" s="176">
        <f t="shared" si="164"/>
        <v>1</v>
      </c>
      <c r="AJ182" s="176" t="e">
        <f t="shared" si="151"/>
        <v>#DIV/0!</v>
      </c>
      <c r="AK182" s="176" t="e">
        <f t="shared" si="152"/>
        <v>#DIV/0!</v>
      </c>
      <c r="AL182" s="176" t="e">
        <f t="shared" si="153"/>
        <v>#DIV/0!</v>
      </c>
      <c r="AM182" s="176" t="e">
        <f t="shared" si="154"/>
        <v>#DIV/0!</v>
      </c>
      <c r="AN182" s="176" t="e">
        <f t="shared" si="155"/>
        <v>#DIV/0!</v>
      </c>
      <c r="AO182" s="176" t="e">
        <f t="shared" si="156"/>
        <v>#DIV/0!</v>
      </c>
      <c r="AP182" s="176" t="e">
        <f t="shared" si="157"/>
        <v>#DIV/0!</v>
      </c>
      <c r="AQ182" s="176" t="e">
        <f t="shared" si="158"/>
        <v>#DIV/0!</v>
      </c>
      <c r="AR182" s="176" t="e">
        <f t="shared" si="159"/>
        <v>#DIV/0!</v>
      </c>
      <c r="AS182" s="176" t="e">
        <f t="shared" si="160"/>
        <v>#DIV/0!</v>
      </c>
      <c r="AT182" s="176" t="e">
        <f t="shared" si="161"/>
        <v>#DIV/0!</v>
      </c>
      <c r="AU182" s="176">
        <f t="shared" si="162"/>
        <v>1</v>
      </c>
      <c r="AV182" s="176">
        <f t="shared" si="163"/>
        <v>1</v>
      </c>
    </row>
    <row r="183" spans="1:48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71"/>
        <v>18000000</v>
      </c>
      <c r="P183" s="21">
        <f t="shared" si="186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61">
        <v>0</v>
      </c>
      <c r="X183" s="21"/>
      <c r="Y183" s="21"/>
      <c r="Z183" s="21"/>
      <c r="AA183" s="21"/>
      <c r="AB183" s="21"/>
      <c r="AC183" s="21"/>
      <c r="AD183" s="21"/>
      <c r="AE183" s="21"/>
      <c r="AF183" s="261">
        <f t="shared" si="149"/>
        <v>2000000</v>
      </c>
      <c r="AG183" s="21">
        <f t="shared" si="150"/>
        <v>2000000</v>
      </c>
      <c r="AI183" s="176">
        <f t="shared" si="164"/>
        <v>0.5</v>
      </c>
      <c r="AJ183" s="176">
        <f t="shared" si="151"/>
        <v>1</v>
      </c>
      <c r="AK183" s="176">
        <f t="shared" si="152"/>
        <v>1</v>
      </c>
      <c r="AL183" s="176">
        <f t="shared" si="153"/>
        <v>1</v>
      </c>
      <c r="AM183" s="176">
        <f t="shared" si="154"/>
        <v>1</v>
      </c>
      <c r="AN183" s="176">
        <f t="shared" si="155"/>
        <v>1</v>
      </c>
      <c r="AO183" s="176">
        <f t="shared" si="156"/>
        <v>1</v>
      </c>
      <c r="AP183" s="176">
        <f t="shared" si="157"/>
        <v>1</v>
      </c>
      <c r="AQ183" s="176">
        <f t="shared" si="158"/>
        <v>1</v>
      </c>
      <c r="AR183" s="176">
        <f t="shared" si="159"/>
        <v>1</v>
      </c>
      <c r="AS183" s="176">
        <f t="shared" si="160"/>
        <v>1</v>
      </c>
      <c r="AT183" s="176">
        <f t="shared" si="161"/>
        <v>1</v>
      </c>
      <c r="AU183" s="176">
        <f t="shared" si="162"/>
        <v>0.88888888888888884</v>
      </c>
      <c r="AV183" s="176">
        <f t="shared" si="163"/>
        <v>0.96</v>
      </c>
    </row>
    <row r="184" spans="1:48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71"/>
        <v>2000000</v>
      </c>
      <c r="P184" s="21">
        <f t="shared" si="186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61">
        <v>0</v>
      </c>
      <c r="X184" s="21"/>
      <c r="Y184" s="21"/>
      <c r="Z184" s="21"/>
      <c r="AA184" s="21"/>
      <c r="AB184" s="21"/>
      <c r="AC184" s="21"/>
      <c r="AD184" s="21"/>
      <c r="AE184" s="21"/>
      <c r="AF184" s="261">
        <f t="shared" si="149"/>
        <v>0</v>
      </c>
      <c r="AG184" s="21">
        <f t="shared" si="150"/>
        <v>0</v>
      </c>
      <c r="AI184" s="176" t="e">
        <f t="shared" si="164"/>
        <v>#DIV/0!</v>
      </c>
      <c r="AJ184" s="176" t="e">
        <f t="shared" si="151"/>
        <v>#DIV/0!</v>
      </c>
      <c r="AK184" s="176">
        <f t="shared" si="152"/>
        <v>1</v>
      </c>
      <c r="AL184" s="176" t="e">
        <f t="shared" si="153"/>
        <v>#DIV/0!</v>
      </c>
      <c r="AM184" s="176" t="e">
        <f t="shared" si="154"/>
        <v>#DIV/0!</v>
      </c>
      <c r="AN184" s="176" t="e">
        <f t="shared" si="155"/>
        <v>#DIV/0!</v>
      </c>
      <c r="AO184" s="176" t="e">
        <f t="shared" si="156"/>
        <v>#DIV/0!</v>
      </c>
      <c r="AP184" s="176" t="e">
        <f t="shared" si="157"/>
        <v>#DIV/0!</v>
      </c>
      <c r="AQ184" s="176" t="e">
        <f t="shared" si="158"/>
        <v>#DIV/0!</v>
      </c>
      <c r="AR184" s="176" t="e">
        <f t="shared" si="159"/>
        <v>#DIV/0!</v>
      </c>
      <c r="AS184" s="176" t="e">
        <f t="shared" si="160"/>
        <v>#DIV/0!</v>
      </c>
      <c r="AT184" s="176" t="e">
        <f t="shared" si="161"/>
        <v>#DIV/0!</v>
      </c>
      <c r="AU184" s="176">
        <f t="shared" si="162"/>
        <v>1</v>
      </c>
      <c r="AV184" s="176">
        <f t="shared" si="163"/>
        <v>1</v>
      </c>
    </row>
    <row r="185" spans="1:48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91">+D186</f>
        <v>11000000</v>
      </c>
      <c r="E185" s="9">
        <f t="shared" si="191"/>
        <v>0</v>
      </c>
      <c r="F185" s="9">
        <f t="shared" si="191"/>
        <v>5000000</v>
      </c>
      <c r="G185" s="9">
        <f t="shared" si="191"/>
        <v>3360000</v>
      </c>
      <c r="H185" s="9">
        <f t="shared" si="191"/>
        <v>0</v>
      </c>
      <c r="I185" s="9">
        <f t="shared" si="191"/>
        <v>0</v>
      </c>
      <c r="J185" s="9">
        <f t="shared" si="191"/>
        <v>0</v>
      </c>
      <c r="K185" s="9">
        <f t="shared" si="191"/>
        <v>0</v>
      </c>
      <c r="L185" s="9">
        <f t="shared" si="191"/>
        <v>4000000</v>
      </c>
      <c r="M185" s="9">
        <f t="shared" si="191"/>
        <v>0</v>
      </c>
      <c r="N185" s="9">
        <f t="shared" si="191"/>
        <v>0</v>
      </c>
      <c r="O185" s="9">
        <f t="shared" si="171"/>
        <v>16000000</v>
      </c>
      <c r="P185" s="9">
        <f t="shared" si="191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f t="shared" ref="W185" si="192">+W186</f>
        <v>0</v>
      </c>
      <c r="X185" s="9"/>
      <c r="Y185" s="9"/>
      <c r="Z185" s="9"/>
      <c r="AA185" s="9"/>
      <c r="AB185" s="9"/>
      <c r="AC185" s="9"/>
      <c r="AD185" s="9"/>
      <c r="AE185" s="9"/>
      <c r="AF185" s="9">
        <f t="shared" si="149"/>
        <v>1000000</v>
      </c>
      <c r="AG185" s="9">
        <f t="shared" si="150"/>
        <v>1000000</v>
      </c>
      <c r="AI185" s="175" t="e">
        <f t="shared" si="164"/>
        <v>#DIV/0!</v>
      </c>
      <c r="AJ185" s="175">
        <f t="shared" si="151"/>
        <v>1</v>
      </c>
      <c r="AK185" s="175" t="e">
        <f t="shared" si="152"/>
        <v>#DIV/0!</v>
      </c>
      <c r="AL185" s="175">
        <f t="shared" si="153"/>
        <v>1</v>
      </c>
      <c r="AM185" s="175">
        <f t="shared" si="154"/>
        <v>1</v>
      </c>
      <c r="AN185" s="175" t="e">
        <f t="shared" si="155"/>
        <v>#DIV/0!</v>
      </c>
      <c r="AO185" s="175" t="e">
        <f t="shared" si="156"/>
        <v>#DIV/0!</v>
      </c>
      <c r="AP185" s="175" t="e">
        <f t="shared" si="157"/>
        <v>#DIV/0!</v>
      </c>
      <c r="AQ185" s="175" t="e">
        <f t="shared" si="158"/>
        <v>#DIV/0!</v>
      </c>
      <c r="AR185" s="175">
        <f t="shared" si="159"/>
        <v>1</v>
      </c>
      <c r="AS185" s="175" t="e">
        <f t="shared" si="160"/>
        <v>#DIV/0!</v>
      </c>
      <c r="AT185" s="175" t="e">
        <f t="shared" si="161"/>
        <v>#DIV/0!</v>
      </c>
      <c r="AU185" s="175">
        <f t="shared" si="162"/>
        <v>0.9375</v>
      </c>
      <c r="AV185" s="175">
        <f t="shared" si="163"/>
        <v>0.9571917808219178</v>
      </c>
    </row>
    <row r="186" spans="1:48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93">+D187+D188+D189</f>
        <v>11000000</v>
      </c>
      <c r="E186" s="9">
        <f t="shared" si="193"/>
        <v>0</v>
      </c>
      <c r="F186" s="9">
        <f t="shared" si="193"/>
        <v>5000000</v>
      </c>
      <c r="G186" s="9">
        <f t="shared" si="193"/>
        <v>3360000</v>
      </c>
      <c r="H186" s="9">
        <f t="shared" si="193"/>
        <v>0</v>
      </c>
      <c r="I186" s="9">
        <f t="shared" si="193"/>
        <v>0</v>
      </c>
      <c r="J186" s="9">
        <f t="shared" si="193"/>
        <v>0</v>
      </c>
      <c r="K186" s="9">
        <f t="shared" si="193"/>
        <v>0</v>
      </c>
      <c r="L186" s="9">
        <f t="shared" si="193"/>
        <v>4000000</v>
      </c>
      <c r="M186" s="9">
        <f t="shared" si="193"/>
        <v>0</v>
      </c>
      <c r="N186" s="9">
        <f t="shared" si="193"/>
        <v>0</v>
      </c>
      <c r="O186" s="9">
        <f t="shared" si="171"/>
        <v>16000000</v>
      </c>
      <c r="P186" s="9">
        <f t="shared" si="193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f t="shared" ref="W186" si="194">+W187+W188+W189</f>
        <v>0</v>
      </c>
      <c r="X186" s="9"/>
      <c r="Y186" s="9"/>
      <c r="Z186" s="9"/>
      <c r="AA186" s="9"/>
      <c r="AB186" s="9"/>
      <c r="AC186" s="9"/>
      <c r="AD186" s="9"/>
      <c r="AE186" s="9"/>
      <c r="AF186" s="9">
        <f t="shared" si="149"/>
        <v>500000</v>
      </c>
      <c r="AG186" s="9">
        <f t="shared" si="150"/>
        <v>500000</v>
      </c>
      <c r="AI186" s="175" t="e">
        <f t="shared" si="164"/>
        <v>#DIV/0!</v>
      </c>
      <c r="AJ186" s="175">
        <f t="shared" si="151"/>
        <v>1</v>
      </c>
      <c r="AK186" s="175" t="e">
        <f t="shared" si="152"/>
        <v>#DIV/0!</v>
      </c>
      <c r="AL186" s="175">
        <f t="shared" si="153"/>
        <v>1</v>
      </c>
      <c r="AM186" s="175">
        <f t="shared" si="154"/>
        <v>1</v>
      </c>
      <c r="AN186" s="175" t="e">
        <f t="shared" si="155"/>
        <v>#DIV/0!</v>
      </c>
      <c r="AO186" s="175" t="e">
        <f t="shared" si="156"/>
        <v>#DIV/0!</v>
      </c>
      <c r="AP186" s="175" t="e">
        <f t="shared" si="157"/>
        <v>#DIV/0!</v>
      </c>
      <c r="AQ186" s="175" t="e">
        <f t="shared" si="158"/>
        <v>#DIV/0!</v>
      </c>
      <c r="AR186" s="175">
        <f t="shared" si="159"/>
        <v>1</v>
      </c>
      <c r="AS186" s="175" t="e">
        <f t="shared" si="160"/>
        <v>#DIV/0!</v>
      </c>
      <c r="AT186" s="175" t="e">
        <f t="shared" si="161"/>
        <v>#DIV/0!</v>
      </c>
      <c r="AU186" s="175">
        <f t="shared" si="162"/>
        <v>0.96875</v>
      </c>
      <c r="AV186" s="175">
        <f t="shared" si="163"/>
        <v>0.97859589041095896</v>
      </c>
    </row>
    <row r="187" spans="1:48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71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61">
        <v>0</v>
      </c>
      <c r="X187" s="21"/>
      <c r="Y187" s="21"/>
      <c r="Z187" s="21"/>
      <c r="AA187" s="21"/>
      <c r="AB187" s="21"/>
      <c r="AC187" s="21"/>
      <c r="AD187" s="21"/>
      <c r="AE187" s="21"/>
      <c r="AF187" s="261">
        <f t="shared" si="149"/>
        <v>0</v>
      </c>
      <c r="AG187" s="21">
        <f t="shared" si="150"/>
        <v>0</v>
      </c>
      <c r="AI187" s="176" t="e">
        <f t="shared" si="164"/>
        <v>#DIV/0!</v>
      </c>
      <c r="AJ187" s="176" t="e">
        <f t="shared" si="151"/>
        <v>#DIV/0!</v>
      </c>
      <c r="AK187" s="176" t="e">
        <f t="shared" si="152"/>
        <v>#DIV/0!</v>
      </c>
      <c r="AL187" s="176" t="e">
        <f t="shared" si="153"/>
        <v>#DIV/0!</v>
      </c>
      <c r="AM187" s="176">
        <f t="shared" si="154"/>
        <v>1</v>
      </c>
      <c r="AN187" s="176" t="e">
        <f t="shared" si="155"/>
        <v>#DIV/0!</v>
      </c>
      <c r="AO187" s="176" t="e">
        <f t="shared" si="156"/>
        <v>#DIV/0!</v>
      </c>
      <c r="AP187" s="176" t="e">
        <f t="shared" si="157"/>
        <v>#DIV/0!</v>
      </c>
      <c r="AQ187" s="176" t="e">
        <f t="shared" si="158"/>
        <v>#DIV/0!</v>
      </c>
      <c r="AR187" s="176" t="e">
        <f t="shared" si="159"/>
        <v>#DIV/0!</v>
      </c>
      <c r="AS187" s="176" t="e">
        <f t="shared" si="160"/>
        <v>#DIV/0!</v>
      </c>
      <c r="AT187" s="176" t="e">
        <f t="shared" si="161"/>
        <v>#DIV/0!</v>
      </c>
      <c r="AU187" s="176" t="e">
        <f t="shared" si="162"/>
        <v>#DIV/0!</v>
      </c>
      <c r="AV187" s="176">
        <f t="shared" si="163"/>
        <v>1</v>
      </c>
    </row>
    <row r="188" spans="1:48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71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61">
        <v>0</v>
      </c>
      <c r="X188" s="21"/>
      <c r="Y188" s="21"/>
      <c r="Z188" s="21"/>
      <c r="AA188" s="21"/>
      <c r="AB188" s="21"/>
      <c r="AC188" s="21"/>
      <c r="AD188" s="21"/>
      <c r="AE188" s="21"/>
      <c r="AF188" s="261">
        <f t="shared" si="149"/>
        <v>500000</v>
      </c>
      <c r="AG188" s="21">
        <f t="shared" si="150"/>
        <v>500000</v>
      </c>
      <c r="AI188" s="176" t="e">
        <f t="shared" si="164"/>
        <v>#DIV/0!</v>
      </c>
      <c r="AJ188" s="176">
        <f t="shared" si="151"/>
        <v>1</v>
      </c>
      <c r="AK188" s="176" t="e">
        <f t="shared" si="152"/>
        <v>#DIV/0!</v>
      </c>
      <c r="AL188" s="176">
        <f t="shared" si="153"/>
        <v>1</v>
      </c>
      <c r="AM188" s="176" t="e">
        <f t="shared" si="154"/>
        <v>#DIV/0!</v>
      </c>
      <c r="AN188" s="176" t="e">
        <f t="shared" si="155"/>
        <v>#DIV/0!</v>
      </c>
      <c r="AO188" s="176" t="e">
        <f t="shared" si="156"/>
        <v>#DIV/0!</v>
      </c>
      <c r="AP188" s="176" t="e">
        <f t="shared" si="157"/>
        <v>#DIV/0!</v>
      </c>
      <c r="AQ188" s="176" t="e">
        <f t="shared" si="158"/>
        <v>#DIV/0!</v>
      </c>
      <c r="AR188" s="176">
        <f t="shared" si="159"/>
        <v>1</v>
      </c>
      <c r="AS188" s="176" t="e">
        <f t="shared" si="160"/>
        <v>#DIV/0!</v>
      </c>
      <c r="AT188" s="176" t="e">
        <f t="shared" si="161"/>
        <v>#DIV/0!</v>
      </c>
      <c r="AU188" s="176">
        <f t="shared" si="162"/>
        <v>0.95454545454545459</v>
      </c>
      <c r="AV188" s="176">
        <f t="shared" si="163"/>
        <v>0.96666666666666667</v>
      </c>
    </row>
    <row r="189" spans="1:48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71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61">
        <v>0</v>
      </c>
      <c r="X189" s="21"/>
      <c r="Y189" s="21"/>
      <c r="Z189" s="21"/>
      <c r="AA189" s="21"/>
      <c r="AB189" s="21"/>
      <c r="AC189" s="21"/>
      <c r="AD189" s="21"/>
      <c r="AE189" s="21"/>
      <c r="AF189" s="261">
        <f t="shared" si="149"/>
        <v>0</v>
      </c>
      <c r="AG189" s="21">
        <f t="shared" si="150"/>
        <v>0</v>
      </c>
      <c r="AI189" s="176" t="e">
        <f t="shared" si="164"/>
        <v>#DIV/0!</v>
      </c>
      <c r="AJ189" s="176">
        <f t="shared" si="151"/>
        <v>1</v>
      </c>
      <c r="AK189" s="176" t="e">
        <f t="shared" si="152"/>
        <v>#DIV/0!</v>
      </c>
      <c r="AL189" s="176" t="e">
        <f t="shared" si="153"/>
        <v>#DIV/0!</v>
      </c>
      <c r="AM189" s="176" t="e">
        <f t="shared" si="154"/>
        <v>#DIV/0!</v>
      </c>
      <c r="AN189" s="176" t="e">
        <f t="shared" si="155"/>
        <v>#DIV/0!</v>
      </c>
      <c r="AO189" s="176" t="e">
        <f t="shared" si="156"/>
        <v>#DIV/0!</v>
      </c>
      <c r="AP189" s="176" t="e">
        <f t="shared" si="157"/>
        <v>#DIV/0!</v>
      </c>
      <c r="AQ189" s="176" t="e">
        <f t="shared" si="158"/>
        <v>#DIV/0!</v>
      </c>
      <c r="AR189" s="176" t="e">
        <f t="shared" si="159"/>
        <v>#DIV/0!</v>
      </c>
      <c r="AS189" s="176" t="e">
        <f t="shared" si="160"/>
        <v>#DIV/0!</v>
      </c>
      <c r="AT189" s="176" t="e">
        <f t="shared" si="161"/>
        <v>#DIV/0!</v>
      </c>
      <c r="AU189" s="176">
        <f t="shared" si="162"/>
        <v>1</v>
      </c>
      <c r="AV189" s="176">
        <f t="shared" si="163"/>
        <v>1</v>
      </c>
    </row>
    <row r="190" spans="1:48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95">+D191+D196+D199</f>
        <v>25200000</v>
      </c>
      <c r="E190" s="9">
        <f t="shared" si="195"/>
        <v>9950000</v>
      </c>
      <c r="F190" s="9">
        <f t="shared" si="195"/>
        <v>25700000</v>
      </c>
      <c r="G190" s="9">
        <f t="shared" si="195"/>
        <v>6200000</v>
      </c>
      <c r="H190" s="9">
        <f t="shared" si="195"/>
        <v>5200000</v>
      </c>
      <c r="I190" s="9">
        <f t="shared" si="195"/>
        <v>11200000</v>
      </c>
      <c r="J190" s="9">
        <f t="shared" si="195"/>
        <v>2200000</v>
      </c>
      <c r="K190" s="9">
        <f t="shared" si="195"/>
        <v>9450000</v>
      </c>
      <c r="L190" s="9">
        <f t="shared" si="195"/>
        <v>200000</v>
      </c>
      <c r="M190" s="9">
        <f t="shared" si="195"/>
        <v>200000</v>
      </c>
      <c r="N190" s="9">
        <f t="shared" si="195"/>
        <v>200000</v>
      </c>
      <c r="O190" s="9">
        <f t="shared" si="171"/>
        <v>62550000</v>
      </c>
      <c r="P190" s="9">
        <f t="shared" si="195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f t="shared" ref="W190" si="196">+W191+W196+W199</f>
        <v>0</v>
      </c>
      <c r="X190" s="9"/>
      <c r="Y190" s="9"/>
      <c r="Z190" s="9"/>
      <c r="AA190" s="9"/>
      <c r="AB190" s="9"/>
      <c r="AC190" s="9"/>
      <c r="AD190" s="9"/>
      <c r="AE190" s="9"/>
      <c r="AF190" s="9">
        <f t="shared" si="149"/>
        <v>11185947</v>
      </c>
      <c r="AG190" s="9">
        <f t="shared" si="150"/>
        <v>11185947</v>
      </c>
      <c r="AI190" s="175">
        <f t="shared" si="164"/>
        <v>0.88194117647058823</v>
      </c>
      <c r="AJ190" s="175">
        <f t="shared" si="151"/>
        <v>1</v>
      </c>
      <c r="AK190" s="175">
        <f t="shared" si="152"/>
        <v>-0.10404492462311558</v>
      </c>
      <c r="AL190" s="175">
        <f t="shared" si="153"/>
        <v>1</v>
      </c>
      <c r="AM190" s="175">
        <f t="shared" si="154"/>
        <v>1</v>
      </c>
      <c r="AN190" s="175">
        <f t="shared" si="155"/>
        <v>1</v>
      </c>
      <c r="AO190" s="175">
        <f t="shared" si="156"/>
        <v>1</v>
      </c>
      <c r="AP190" s="175">
        <f t="shared" si="157"/>
        <v>1</v>
      </c>
      <c r="AQ190" s="175">
        <f t="shared" si="158"/>
        <v>1</v>
      </c>
      <c r="AR190" s="175">
        <f t="shared" si="159"/>
        <v>1</v>
      </c>
      <c r="AS190" s="175">
        <f t="shared" si="160"/>
        <v>1</v>
      </c>
      <c r="AT190" s="175">
        <f t="shared" si="161"/>
        <v>1</v>
      </c>
      <c r="AU190" s="175">
        <f t="shared" si="162"/>
        <v>0.82116791366906472</v>
      </c>
      <c r="AV190" s="175">
        <f t="shared" si="163"/>
        <v>0.88515454825462014</v>
      </c>
    </row>
    <row r="191" spans="1:48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97">SUM(D192:D195)</f>
        <v>15200000</v>
      </c>
      <c r="E191" s="9">
        <f t="shared" si="197"/>
        <v>200000</v>
      </c>
      <c r="F191" s="9">
        <f t="shared" si="197"/>
        <v>200000</v>
      </c>
      <c r="G191" s="9">
        <f t="shared" si="197"/>
        <v>200000</v>
      </c>
      <c r="H191" s="9">
        <f t="shared" si="197"/>
        <v>200000</v>
      </c>
      <c r="I191" s="9">
        <f t="shared" si="197"/>
        <v>10200000</v>
      </c>
      <c r="J191" s="9">
        <f t="shared" si="197"/>
        <v>200000</v>
      </c>
      <c r="K191" s="9">
        <f t="shared" si="197"/>
        <v>200000</v>
      </c>
      <c r="L191" s="9">
        <f t="shared" si="197"/>
        <v>200000</v>
      </c>
      <c r="M191" s="9">
        <f t="shared" si="197"/>
        <v>200000</v>
      </c>
      <c r="N191" s="9">
        <f t="shared" si="197"/>
        <v>200000</v>
      </c>
      <c r="O191" s="9">
        <f t="shared" si="171"/>
        <v>17300000</v>
      </c>
      <c r="P191" s="9">
        <f t="shared" si="197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f t="shared" ref="W191" si="198">SUM(W192:W195)</f>
        <v>0</v>
      </c>
      <c r="X191" s="9"/>
      <c r="Y191" s="9"/>
      <c r="Z191" s="9"/>
      <c r="AA191" s="9"/>
      <c r="AB191" s="9"/>
      <c r="AC191" s="9"/>
      <c r="AD191" s="9"/>
      <c r="AE191" s="9"/>
      <c r="AF191" s="9">
        <f t="shared" si="149"/>
        <v>0</v>
      </c>
      <c r="AG191" s="9">
        <f t="shared" si="150"/>
        <v>0</v>
      </c>
      <c r="AI191" s="175">
        <f t="shared" si="164"/>
        <v>1</v>
      </c>
      <c r="AJ191" s="175">
        <f t="shared" si="151"/>
        <v>1</v>
      </c>
      <c r="AK191" s="175">
        <f t="shared" si="152"/>
        <v>1</v>
      </c>
      <c r="AL191" s="175">
        <f t="shared" si="153"/>
        <v>1</v>
      </c>
      <c r="AM191" s="175">
        <f t="shared" si="154"/>
        <v>1</v>
      </c>
      <c r="AN191" s="175">
        <f t="shared" si="155"/>
        <v>1</v>
      </c>
      <c r="AO191" s="175">
        <f t="shared" si="156"/>
        <v>1</v>
      </c>
      <c r="AP191" s="175">
        <f t="shared" si="157"/>
        <v>1</v>
      </c>
      <c r="AQ191" s="175">
        <f t="shared" si="158"/>
        <v>1</v>
      </c>
      <c r="AR191" s="175">
        <f t="shared" si="159"/>
        <v>1</v>
      </c>
      <c r="AS191" s="175">
        <f t="shared" si="160"/>
        <v>1</v>
      </c>
      <c r="AT191" s="175">
        <f t="shared" si="161"/>
        <v>1</v>
      </c>
      <c r="AU191" s="175">
        <f t="shared" si="162"/>
        <v>1</v>
      </c>
      <c r="AV191" s="175">
        <f t="shared" si="163"/>
        <v>1</v>
      </c>
    </row>
    <row r="192" spans="1:48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71"/>
        <v>5000000</v>
      </c>
      <c r="P192" s="21">
        <f t="shared" ref="P192:P203" si="199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61">
        <v>0</v>
      </c>
      <c r="X192" s="21"/>
      <c r="Y192" s="21"/>
      <c r="Z192" s="21"/>
      <c r="AA192" s="21"/>
      <c r="AB192" s="21"/>
      <c r="AC192" s="21"/>
      <c r="AD192" s="21"/>
      <c r="AE192" s="21"/>
      <c r="AF192" s="261">
        <f t="shared" si="149"/>
        <v>0</v>
      </c>
      <c r="AG192" s="21">
        <f t="shared" si="150"/>
        <v>0</v>
      </c>
      <c r="AI192" s="176" t="e">
        <f t="shared" si="164"/>
        <v>#DIV/0!</v>
      </c>
      <c r="AJ192" s="176">
        <f t="shared" si="151"/>
        <v>1</v>
      </c>
      <c r="AK192" s="176" t="e">
        <f t="shared" si="152"/>
        <v>#DIV/0!</v>
      </c>
      <c r="AL192" s="176" t="e">
        <f t="shared" si="153"/>
        <v>#DIV/0!</v>
      </c>
      <c r="AM192" s="176" t="e">
        <f t="shared" si="154"/>
        <v>#DIV/0!</v>
      </c>
      <c r="AN192" s="176" t="e">
        <f t="shared" si="155"/>
        <v>#DIV/0!</v>
      </c>
      <c r="AO192" s="176" t="e">
        <f t="shared" si="156"/>
        <v>#DIV/0!</v>
      </c>
      <c r="AP192" s="176" t="e">
        <f t="shared" si="157"/>
        <v>#DIV/0!</v>
      </c>
      <c r="AQ192" s="176" t="e">
        <f t="shared" si="158"/>
        <v>#DIV/0!</v>
      </c>
      <c r="AR192" s="176" t="e">
        <f t="shared" si="159"/>
        <v>#DIV/0!</v>
      </c>
      <c r="AS192" s="176" t="e">
        <f t="shared" si="160"/>
        <v>#DIV/0!</v>
      </c>
      <c r="AT192" s="176" t="e">
        <f t="shared" si="161"/>
        <v>#DIV/0!</v>
      </c>
      <c r="AU192" s="176">
        <f t="shared" si="162"/>
        <v>1</v>
      </c>
      <c r="AV192" s="176">
        <f t="shared" si="163"/>
        <v>1</v>
      </c>
    </row>
    <row r="193" spans="1:48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71"/>
        <v>1500000</v>
      </c>
      <c r="P193" s="21">
        <f t="shared" si="199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61">
        <v>0</v>
      </c>
      <c r="X193" s="21"/>
      <c r="Y193" s="21"/>
      <c r="Z193" s="21"/>
      <c r="AA193" s="21"/>
      <c r="AB193" s="21"/>
      <c r="AC193" s="21"/>
      <c r="AD193" s="21"/>
      <c r="AE193" s="21"/>
      <c r="AF193" s="261">
        <f t="shared" si="149"/>
        <v>0</v>
      </c>
      <c r="AG193" s="21">
        <f t="shared" si="150"/>
        <v>0</v>
      </c>
      <c r="AI193" s="176">
        <f t="shared" si="164"/>
        <v>1</v>
      </c>
      <c r="AJ193" s="176" t="e">
        <f t="shared" si="151"/>
        <v>#DIV/0!</v>
      </c>
      <c r="AK193" s="176" t="e">
        <f t="shared" si="152"/>
        <v>#DIV/0!</v>
      </c>
      <c r="AL193" s="176" t="e">
        <f t="shared" si="153"/>
        <v>#DIV/0!</v>
      </c>
      <c r="AM193" s="176" t="e">
        <f t="shared" si="154"/>
        <v>#DIV/0!</v>
      </c>
      <c r="AN193" s="176" t="e">
        <f t="shared" si="155"/>
        <v>#DIV/0!</v>
      </c>
      <c r="AO193" s="176" t="e">
        <f t="shared" si="156"/>
        <v>#DIV/0!</v>
      </c>
      <c r="AP193" s="176" t="e">
        <f t="shared" si="157"/>
        <v>#DIV/0!</v>
      </c>
      <c r="AQ193" s="176" t="e">
        <f t="shared" si="158"/>
        <v>#DIV/0!</v>
      </c>
      <c r="AR193" s="176" t="e">
        <f t="shared" si="159"/>
        <v>#DIV/0!</v>
      </c>
      <c r="AS193" s="176" t="e">
        <f t="shared" si="160"/>
        <v>#DIV/0!</v>
      </c>
      <c r="AT193" s="176" t="e">
        <f t="shared" si="161"/>
        <v>#DIV/0!</v>
      </c>
      <c r="AU193" s="176">
        <f t="shared" si="162"/>
        <v>1</v>
      </c>
      <c r="AV193" s="176">
        <f t="shared" si="163"/>
        <v>1</v>
      </c>
    </row>
    <row r="194" spans="1:48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71"/>
        <v>800000</v>
      </c>
      <c r="P194" s="21">
        <f t="shared" si="199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61">
        <v>0</v>
      </c>
      <c r="X194" s="21"/>
      <c r="Y194" s="21"/>
      <c r="Z194" s="21"/>
      <c r="AA194" s="21"/>
      <c r="AB194" s="21"/>
      <c r="AC194" s="21"/>
      <c r="AD194" s="21"/>
      <c r="AE194" s="21"/>
      <c r="AF194" s="261">
        <f t="shared" si="149"/>
        <v>0</v>
      </c>
      <c r="AG194" s="21">
        <f t="shared" si="150"/>
        <v>0</v>
      </c>
      <c r="AI194" s="176">
        <f t="shared" si="164"/>
        <v>1</v>
      </c>
      <c r="AJ194" s="176">
        <f t="shared" si="151"/>
        <v>1</v>
      </c>
      <c r="AK194" s="176">
        <f t="shared" si="152"/>
        <v>1</v>
      </c>
      <c r="AL194" s="176">
        <f t="shared" si="153"/>
        <v>1</v>
      </c>
      <c r="AM194" s="176">
        <f t="shared" si="154"/>
        <v>1</v>
      </c>
      <c r="AN194" s="176">
        <f t="shared" si="155"/>
        <v>1</v>
      </c>
      <c r="AO194" s="176">
        <f t="shared" si="156"/>
        <v>1</v>
      </c>
      <c r="AP194" s="176">
        <f t="shared" si="157"/>
        <v>1</v>
      </c>
      <c r="AQ194" s="176">
        <f t="shared" si="158"/>
        <v>1</v>
      </c>
      <c r="AR194" s="176">
        <f t="shared" si="159"/>
        <v>1</v>
      </c>
      <c r="AS194" s="176">
        <f t="shared" si="160"/>
        <v>1</v>
      </c>
      <c r="AT194" s="176">
        <f t="shared" si="161"/>
        <v>1</v>
      </c>
      <c r="AU194" s="176">
        <f t="shared" si="162"/>
        <v>1</v>
      </c>
      <c r="AV194" s="176">
        <f t="shared" si="163"/>
        <v>1</v>
      </c>
    </row>
    <row r="195" spans="1:48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71"/>
        <v>10000000</v>
      </c>
      <c r="P195" s="21">
        <f t="shared" si="199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61">
        <v>0</v>
      </c>
      <c r="X195" s="21"/>
      <c r="Y195" s="21"/>
      <c r="Z195" s="21"/>
      <c r="AA195" s="21"/>
      <c r="AB195" s="21"/>
      <c r="AC195" s="21"/>
      <c r="AD195" s="21"/>
      <c r="AE195" s="21"/>
      <c r="AF195" s="261">
        <f t="shared" si="149"/>
        <v>0</v>
      </c>
      <c r="AG195" s="21">
        <f t="shared" si="150"/>
        <v>0</v>
      </c>
      <c r="AI195" s="176" t="e">
        <f t="shared" si="164"/>
        <v>#DIV/0!</v>
      </c>
      <c r="AJ195" s="176">
        <f t="shared" si="151"/>
        <v>1</v>
      </c>
      <c r="AK195" s="176" t="e">
        <f t="shared" si="152"/>
        <v>#DIV/0!</v>
      </c>
      <c r="AL195" s="176" t="e">
        <f t="shared" si="153"/>
        <v>#DIV/0!</v>
      </c>
      <c r="AM195" s="176" t="e">
        <f t="shared" si="154"/>
        <v>#DIV/0!</v>
      </c>
      <c r="AN195" s="176" t="e">
        <f t="shared" si="155"/>
        <v>#DIV/0!</v>
      </c>
      <c r="AO195" s="176">
        <f t="shared" si="156"/>
        <v>1</v>
      </c>
      <c r="AP195" s="176" t="e">
        <f t="shared" si="157"/>
        <v>#DIV/0!</v>
      </c>
      <c r="AQ195" s="176" t="e">
        <f t="shared" si="158"/>
        <v>#DIV/0!</v>
      </c>
      <c r="AR195" s="176" t="e">
        <f t="shared" si="159"/>
        <v>#DIV/0!</v>
      </c>
      <c r="AS195" s="176" t="e">
        <f t="shared" si="160"/>
        <v>#DIV/0!</v>
      </c>
      <c r="AT195" s="176" t="e">
        <f t="shared" si="161"/>
        <v>#DIV/0!</v>
      </c>
      <c r="AU195" s="176">
        <f t="shared" si="162"/>
        <v>1</v>
      </c>
      <c r="AV195" s="176">
        <f t="shared" si="163"/>
        <v>1</v>
      </c>
    </row>
    <row r="196" spans="1:48" x14ac:dyDescent="0.25">
      <c r="A196" s="7" t="s">
        <v>350</v>
      </c>
      <c r="B196" s="8" t="s">
        <v>148</v>
      </c>
      <c r="C196" s="9">
        <f t="shared" ref="C196:N196" si="200">+C197+C198</f>
        <v>0</v>
      </c>
      <c r="D196" s="9">
        <f t="shared" si="200"/>
        <v>0</v>
      </c>
      <c r="E196" s="9">
        <f t="shared" si="200"/>
        <v>9750000</v>
      </c>
      <c r="F196" s="9">
        <f t="shared" si="200"/>
        <v>20500000</v>
      </c>
      <c r="G196" s="9">
        <f t="shared" si="200"/>
        <v>6000000</v>
      </c>
      <c r="H196" s="9">
        <f t="shared" si="200"/>
        <v>0</v>
      </c>
      <c r="I196" s="9">
        <f t="shared" si="200"/>
        <v>0</v>
      </c>
      <c r="J196" s="9">
        <f t="shared" si="200"/>
        <v>2000000</v>
      </c>
      <c r="K196" s="9">
        <f t="shared" si="200"/>
        <v>6750000</v>
      </c>
      <c r="L196" s="9">
        <f t="shared" si="200"/>
        <v>0</v>
      </c>
      <c r="M196" s="9">
        <f t="shared" si="200"/>
        <v>0</v>
      </c>
      <c r="N196" s="9">
        <f t="shared" si="200"/>
        <v>0</v>
      </c>
      <c r="O196" s="9">
        <f t="shared" si="171"/>
        <v>30250000</v>
      </c>
      <c r="P196" s="9">
        <f t="shared" si="199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f t="shared" ref="W196" si="201">SUM(W197:W198)</f>
        <v>0</v>
      </c>
      <c r="X196" s="9"/>
      <c r="Y196" s="9"/>
      <c r="Z196" s="9"/>
      <c r="AA196" s="9"/>
      <c r="AB196" s="9"/>
      <c r="AC196" s="9"/>
      <c r="AD196" s="9"/>
      <c r="AE196" s="9"/>
      <c r="AF196" s="9">
        <f t="shared" si="149"/>
        <v>11135247</v>
      </c>
      <c r="AG196" s="9">
        <f t="shared" si="150"/>
        <v>11135247</v>
      </c>
      <c r="AI196" s="175" t="e">
        <f t="shared" si="164"/>
        <v>#DIV/0!</v>
      </c>
      <c r="AJ196" s="175" t="e">
        <f t="shared" si="151"/>
        <v>#DIV/0!</v>
      </c>
      <c r="AK196" s="175">
        <f t="shared" si="152"/>
        <v>-0.126692</v>
      </c>
      <c r="AL196" s="175">
        <f t="shared" si="153"/>
        <v>1</v>
      </c>
      <c r="AM196" s="175">
        <f t="shared" si="154"/>
        <v>1</v>
      </c>
      <c r="AN196" s="175" t="e">
        <f t="shared" si="155"/>
        <v>#DIV/0!</v>
      </c>
      <c r="AO196" s="175" t="e">
        <f t="shared" si="156"/>
        <v>#DIV/0!</v>
      </c>
      <c r="AP196" s="175">
        <f t="shared" si="157"/>
        <v>1</v>
      </c>
      <c r="AQ196" s="175">
        <f t="shared" si="158"/>
        <v>1</v>
      </c>
      <c r="AR196" s="175" t="e">
        <f t="shared" si="159"/>
        <v>#DIV/0!</v>
      </c>
      <c r="AS196" s="175" t="e">
        <f t="shared" si="160"/>
        <v>#DIV/0!</v>
      </c>
      <c r="AT196" s="175" t="e">
        <f t="shared" si="161"/>
        <v>#DIV/0!</v>
      </c>
      <c r="AU196" s="175">
        <f t="shared" si="162"/>
        <v>0.6318926611570248</v>
      </c>
      <c r="AV196" s="175">
        <f t="shared" si="163"/>
        <v>0.75255006666666668</v>
      </c>
    </row>
    <row r="197" spans="1:48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71"/>
        <v>14750000</v>
      </c>
      <c r="P197" s="21">
        <f t="shared" si="199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61">
        <v>0</v>
      </c>
      <c r="X197" s="21"/>
      <c r="Y197" s="21"/>
      <c r="Z197" s="21"/>
      <c r="AA197" s="21"/>
      <c r="AB197" s="21"/>
      <c r="AC197" s="21"/>
      <c r="AD197" s="21"/>
      <c r="AE197" s="21"/>
      <c r="AF197" s="261">
        <f t="shared" si="149"/>
        <v>0</v>
      </c>
      <c r="AG197" s="21">
        <f t="shared" si="150"/>
        <v>0</v>
      </c>
      <c r="AI197" s="176" t="e">
        <f t="shared" si="164"/>
        <v>#DIV/0!</v>
      </c>
      <c r="AJ197" s="176" t="e">
        <f t="shared" si="151"/>
        <v>#DIV/0!</v>
      </c>
      <c r="AK197" s="176">
        <f t="shared" si="152"/>
        <v>1</v>
      </c>
      <c r="AL197" s="176">
        <f t="shared" si="153"/>
        <v>1</v>
      </c>
      <c r="AM197" s="176" t="e">
        <f t="shared" si="154"/>
        <v>#DIV/0!</v>
      </c>
      <c r="AN197" s="176" t="e">
        <f t="shared" si="155"/>
        <v>#DIV/0!</v>
      </c>
      <c r="AO197" s="176" t="e">
        <f t="shared" si="156"/>
        <v>#DIV/0!</v>
      </c>
      <c r="AP197" s="176">
        <f t="shared" si="157"/>
        <v>1</v>
      </c>
      <c r="AQ197" s="176">
        <f t="shared" si="158"/>
        <v>1</v>
      </c>
      <c r="AR197" s="176" t="e">
        <f t="shared" si="159"/>
        <v>#DIV/0!</v>
      </c>
      <c r="AS197" s="176" t="e">
        <f t="shared" si="160"/>
        <v>#DIV/0!</v>
      </c>
      <c r="AT197" s="176" t="e">
        <f t="shared" si="161"/>
        <v>#DIV/0!</v>
      </c>
      <c r="AU197" s="176">
        <f t="shared" si="162"/>
        <v>1</v>
      </c>
      <c r="AV197" s="176">
        <f t="shared" si="163"/>
        <v>1</v>
      </c>
    </row>
    <row r="198" spans="1:48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71"/>
        <v>15500000</v>
      </c>
      <c r="P198" s="21">
        <f t="shared" si="199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61">
        <v>0</v>
      </c>
      <c r="X198" s="21"/>
      <c r="Y198" s="21"/>
      <c r="Z198" s="21"/>
      <c r="AA198" s="21"/>
      <c r="AB198" s="21"/>
      <c r="AC198" s="21"/>
      <c r="AD198" s="21"/>
      <c r="AE198" s="21"/>
      <c r="AF198" s="261">
        <f t="shared" ref="AF198:AF261" si="202">+T198+U198+V198+W198</f>
        <v>11135247</v>
      </c>
      <c r="AG198" s="21">
        <f t="shared" ref="AG198:AG261" si="203">+T198+U198+V198+W198</f>
        <v>11135247</v>
      </c>
      <c r="AI198" s="176" t="e">
        <f t="shared" si="164"/>
        <v>#DIV/0!</v>
      </c>
      <c r="AJ198" s="176" t="e">
        <f t="shared" ref="AJ198:AJ263" si="204">(D198-U198)/D198</f>
        <v>#DIV/0!</v>
      </c>
      <c r="AK198" s="176" t="e">
        <f t="shared" ref="AK198:AK263" si="205">(E198-V198)/E198</f>
        <v>#DIV/0!</v>
      </c>
      <c r="AL198" s="176">
        <f t="shared" ref="AL198:AL263" si="206">(F198-W198)/F198</f>
        <v>1</v>
      </c>
      <c r="AM198" s="176">
        <f t="shared" ref="AM198:AM263" si="207">(G198-X198)/G198</f>
        <v>1</v>
      </c>
      <c r="AN198" s="176" t="e">
        <f t="shared" ref="AN198:AN263" si="208">(H198-Y198)/H198</f>
        <v>#DIV/0!</v>
      </c>
      <c r="AO198" s="176" t="e">
        <f t="shared" ref="AO198:AO263" si="209">(I198-Z198)/I198</f>
        <v>#DIV/0!</v>
      </c>
      <c r="AP198" s="176" t="e">
        <f t="shared" ref="AP198:AP263" si="210">(J198-AA198)/J198</f>
        <v>#DIV/0!</v>
      </c>
      <c r="AQ198" s="176">
        <f t="shared" ref="AQ198:AQ263" si="211">(K198-AB198)/K198</f>
        <v>1</v>
      </c>
      <c r="AR198" s="176" t="e">
        <f t="shared" ref="AR198:AR263" si="212">(L198-AC198)/L198</f>
        <v>#DIV/0!</v>
      </c>
      <c r="AS198" s="176" t="e">
        <f t="shared" ref="AS198:AS263" si="213">(M198-AD198)/M198</f>
        <v>#DIV/0!</v>
      </c>
      <c r="AT198" s="176" t="e">
        <f t="shared" ref="AT198:AT263" si="214">(N198-AE198)/N198</f>
        <v>#DIV/0!</v>
      </c>
      <c r="AU198" s="176">
        <f t="shared" ref="AU198:AU263" si="215">(O198-AF198)/O198</f>
        <v>0.28159696774193549</v>
      </c>
      <c r="AV198" s="176">
        <f t="shared" ref="AV198:AV263" si="216">(P198-AG198)/P198</f>
        <v>0.53603137499999998</v>
      </c>
    </row>
    <row r="199" spans="1:48" x14ac:dyDescent="0.25">
      <c r="A199" s="7" t="s">
        <v>353</v>
      </c>
      <c r="B199" s="8" t="s">
        <v>154</v>
      </c>
      <c r="C199" s="9">
        <f t="shared" ref="C199:N199" si="217">SUM(C200:C203)</f>
        <v>0</v>
      </c>
      <c r="D199" s="9">
        <f t="shared" si="217"/>
        <v>10000000</v>
      </c>
      <c r="E199" s="9">
        <f t="shared" si="217"/>
        <v>0</v>
      </c>
      <c r="F199" s="9">
        <f t="shared" si="217"/>
        <v>5000000</v>
      </c>
      <c r="G199" s="9">
        <f t="shared" si="217"/>
        <v>0</v>
      </c>
      <c r="H199" s="9">
        <f t="shared" si="217"/>
        <v>5000000</v>
      </c>
      <c r="I199" s="9">
        <f t="shared" si="217"/>
        <v>1000000</v>
      </c>
      <c r="J199" s="9">
        <f t="shared" si="217"/>
        <v>0</v>
      </c>
      <c r="K199" s="9">
        <f t="shared" si="217"/>
        <v>2500000</v>
      </c>
      <c r="L199" s="9">
        <f t="shared" si="217"/>
        <v>0</v>
      </c>
      <c r="M199" s="9">
        <f t="shared" si="217"/>
        <v>0</v>
      </c>
      <c r="N199" s="9">
        <f t="shared" si="217"/>
        <v>0</v>
      </c>
      <c r="O199" s="9">
        <f t="shared" si="171"/>
        <v>15000000</v>
      </c>
      <c r="P199" s="9">
        <f t="shared" si="199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f t="shared" ref="W199" si="218">SUM(W200:W203)</f>
        <v>0</v>
      </c>
      <c r="X199" s="9"/>
      <c r="Y199" s="9"/>
      <c r="Z199" s="9"/>
      <c r="AA199" s="9"/>
      <c r="AB199" s="9"/>
      <c r="AC199" s="9"/>
      <c r="AD199" s="9"/>
      <c r="AE199" s="9"/>
      <c r="AF199" s="9">
        <f t="shared" si="202"/>
        <v>50700</v>
      </c>
      <c r="AG199" s="9">
        <f t="shared" si="203"/>
        <v>50700</v>
      </c>
      <c r="AI199" s="175" t="e">
        <f t="shared" ref="AI199:AI264" si="219">(C199-T199)/C199</f>
        <v>#DIV/0!</v>
      </c>
      <c r="AJ199" s="175">
        <f t="shared" si="204"/>
        <v>1</v>
      </c>
      <c r="AK199" s="175" t="e">
        <f t="shared" si="205"/>
        <v>#DIV/0!</v>
      </c>
      <c r="AL199" s="175">
        <f t="shared" si="206"/>
        <v>1</v>
      </c>
      <c r="AM199" s="175" t="e">
        <f t="shared" si="207"/>
        <v>#DIV/0!</v>
      </c>
      <c r="AN199" s="175">
        <f t="shared" si="208"/>
        <v>1</v>
      </c>
      <c r="AO199" s="175">
        <f t="shared" si="209"/>
        <v>1</v>
      </c>
      <c r="AP199" s="175" t="e">
        <f t="shared" si="210"/>
        <v>#DIV/0!</v>
      </c>
      <c r="AQ199" s="175">
        <f t="shared" si="211"/>
        <v>1</v>
      </c>
      <c r="AR199" s="175" t="e">
        <f t="shared" si="212"/>
        <v>#DIV/0!</v>
      </c>
      <c r="AS199" s="175" t="e">
        <f t="shared" si="213"/>
        <v>#DIV/0!</v>
      </c>
      <c r="AT199" s="175" t="e">
        <f t="shared" si="214"/>
        <v>#DIV/0!</v>
      </c>
      <c r="AU199" s="175">
        <f t="shared" si="215"/>
        <v>0.99661999999999995</v>
      </c>
      <c r="AV199" s="175">
        <f t="shared" si="216"/>
        <v>0.9978425531914894</v>
      </c>
    </row>
    <row r="200" spans="1:48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71"/>
        <v>2000000</v>
      </c>
      <c r="P200" s="21">
        <f t="shared" si="199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61">
        <v>0</v>
      </c>
      <c r="X200" s="21"/>
      <c r="Y200" s="21"/>
      <c r="Z200" s="21"/>
      <c r="AA200" s="21"/>
      <c r="AB200" s="21"/>
      <c r="AC200" s="21"/>
      <c r="AD200" s="21"/>
      <c r="AE200" s="21"/>
      <c r="AF200" s="261">
        <f t="shared" si="202"/>
        <v>0</v>
      </c>
      <c r="AG200" s="21">
        <f t="shared" si="203"/>
        <v>0</v>
      </c>
      <c r="AI200" s="176" t="e">
        <f t="shared" si="219"/>
        <v>#DIV/0!</v>
      </c>
      <c r="AJ200" s="176">
        <f t="shared" si="204"/>
        <v>1</v>
      </c>
      <c r="AK200" s="176" t="e">
        <f t="shared" si="205"/>
        <v>#DIV/0!</v>
      </c>
      <c r="AL200" s="176" t="e">
        <f t="shared" si="206"/>
        <v>#DIV/0!</v>
      </c>
      <c r="AM200" s="176" t="e">
        <f t="shared" si="207"/>
        <v>#DIV/0!</v>
      </c>
      <c r="AN200" s="176" t="e">
        <f t="shared" si="208"/>
        <v>#DIV/0!</v>
      </c>
      <c r="AO200" s="176" t="e">
        <f t="shared" si="209"/>
        <v>#DIV/0!</v>
      </c>
      <c r="AP200" s="176" t="e">
        <f t="shared" si="210"/>
        <v>#DIV/0!</v>
      </c>
      <c r="AQ200" s="176" t="e">
        <f t="shared" si="211"/>
        <v>#DIV/0!</v>
      </c>
      <c r="AR200" s="176" t="e">
        <f t="shared" si="212"/>
        <v>#DIV/0!</v>
      </c>
      <c r="AS200" s="176" t="e">
        <f t="shared" si="213"/>
        <v>#DIV/0!</v>
      </c>
      <c r="AT200" s="176" t="e">
        <f t="shared" si="214"/>
        <v>#DIV/0!</v>
      </c>
      <c r="AU200" s="176">
        <f t="shared" si="215"/>
        <v>1</v>
      </c>
      <c r="AV200" s="176">
        <f t="shared" si="216"/>
        <v>1</v>
      </c>
    </row>
    <row r="201" spans="1:48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71"/>
        <v>2000000</v>
      </c>
      <c r="P201" s="21">
        <f t="shared" si="199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61">
        <v>0</v>
      </c>
      <c r="X201" s="21"/>
      <c r="Y201" s="21"/>
      <c r="Z201" s="21"/>
      <c r="AA201" s="21"/>
      <c r="AB201" s="21"/>
      <c r="AC201" s="21"/>
      <c r="AD201" s="21"/>
      <c r="AE201" s="21"/>
      <c r="AF201" s="261">
        <f t="shared" si="202"/>
        <v>0</v>
      </c>
      <c r="AG201" s="21">
        <f t="shared" si="203"/>
        <v>0</v>
      </c>
      <c r="AI201" s="176" t="e">
        <f t="shared" si="219"/>
        <v>#DIV/0!</v>
      </c>
      <c r="AJ201" s="176">
        <f t="shared" si="204"/>
        <v>1</v>
      </c>
      <c r="AK201" s="176" t="e">
        <f t="shared" si="205"/>
        <v>#DIV/0!</v>
      </c>
      <c r="AL201" s="176" t="e">
        <f t="shared" si="206"/>
        <v>#DIV/0!</v>
      </c>
      <c r="AM201" s="176" t="e">
        <f t="shared" si="207"/>
        <v>#DIV/0!</v>
      </c>
      <c r="AN201" s="176" t="e">
        <f t="shared" si="208"/>
        <v>#DIV/0!</v>
      </c>
      <c r="AO201" s="176" t="e">
        <f t="shared" si="209"/>
        <v>#DIV/0!</v>
      </c>
      <c r="AP201" s="176" t="e">
        <f t="shared" si="210"/>
        <v>#DIV/0!</v>
      </c>
      <c r="AQ201" s="176" t="e">
        <f t="shared" si="211"/>
        <v>#DIV/0!</v>
      </c>
      <c r="AR201" s="176" t="e">
        <f t="shared" si="212"/>
        <v>#DIV/0!</v>
      </c>
      <c r="AS201" s="176" t="e">
        <f t="shared" si="213"/>
        <v>#DIV/0!</v>
      </c>
      <c r="AT201" s="176" t="e">
        <f t="shared" si="214"/>
        <v>#DIV/0!</v>
      </c>
      <c r="AU201" s="176">
        <f t="shared" si="215"/>
        <v>1</v>
      </c>
      <c r="AV201" s="176">
        <f t="shared" si="216"/>
        <v>1</v>
      </c>
    </row>
    <row r="202" spans="1:48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71"/>
        <v>500000</v>
      </c>
      <c r="P202" s="21">
        <f t="shared" si="199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61">
        <v>0</v>
      </c>
      <c r="X202" s="21"/>
      <c r="Y202" s="21"/>
      <c r="Z202" s="21"/>
      <c r="AA202" s="21"/>
      <c r="AB202" s="21"/>
      <c r="AC202" s="21"/>
      <c r="AD202" s="21"/>
      <c r="AE202" s="21"/>
      <c r="AF202" s="261">
        <f t="shared" si="202"/>
        <v>0</v>
      </c>
      <c r="AG202" s="21">
        <f t="shared" si="203"/>
        <v>0</v>
      </c>
      <c r="AI202" s="176" t="e">
        <f t="shared" si="219"/>
        <v>#DIV/0!</v>
      </c>
      <c r="AJ202" s="176">
        <f t="shared" si="204"/>
        <v>1</v>
      </c>
      <c r="AK202" s="176" t="e">
        <f t="shared" si="205"/>
        <v>#DIV/0!</v>
      </c>
      <c r="AL202" s="176" t="e">
        <f t="shared" si="206"/>
        <v>#DIV/0!</v>
      </c>
      <c r="AM202" s="176" t="e">
        <f t="shared" si="207"/>
        <v>#DIV/0!</v>
      </c>
      <c r="AN202" s="176" t="e">
        <f t="shared" si="208"/>
        <v>#DIV/0!</v>
      </c>
      <c r="AO202" s="176">
        <f t="shared" si="209"/>
        <v>1</v>
      </c>
      <c r="AP202" s="176" t="e">
        <f t="shared" si="210"/>
        <v>#DIV/0!</v>
      </c>
      <c r="AQ202" s="176" t="e">
        <f t="shared" si="211"/>
        <v>#DIV/0!</v>
      </c>
      <c r="AR202" s="176" t="e">
        <f t="shared" si="212"/>
        <v>#DIV/0!</v>
      </c>
      <c r="AS202" s="176" t="e">
        <f t="shared" si="213"/>
        <v>#DIV/0!</v>
      </c>
      <c r="AT202" s="176" t="e">
        <f t="shared" si="214"/>
        <v>#DIV/0!</v>
      </c>
      <c r="AU202" s="176">
        <f t="shared" si="215"/>
        <v>1</v>
      </c>
      <c r="AV202" s="176">
        <f t="shared" si="216"/>
        <v>1</v>
      </c>
    </row>
    <row r="203" spans="1:48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220">+C203+D203+E203+F203</f>
        <v>10500000</v>
      </c>
      <c r="P203" s="21">
        <f t="shared" si="199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61">
        <v>0</v>
      </c>
      <c r="X203" s="21"/>
      <c r="Y203" s="21"/>
      <c r="Z203" s="21"/>
      <c r="AA203" s="21"/>
      <c r="AB203" s="21"/>
      <c r="AC203" s="21"/>
      <c r="AD203" s="21"/>
      <c r="AE203" s="21"/>
      <c r="AF203" s="261">
        <f t="shared" si="202"/>
        <v>50700</v>
      </c>
      <c r="AG203" s="21">
        <f t="shared" si="203"/>
        <v>50700</v>
      </c>
      <c r="AI203" s="176" t="e">
        <f t="shared" si="219"/>
        <v>#DIV/0!</v>
      </c>
      <c r="AJ203" s="176">
        <f t="shared" si="204"/>
        <v>1</v>
      </c>
      <c r="AK203" s="176" t="e">
        <f t="shared" si="205"/>
        <v>#DIV/0!</v>
      </c>
      <c r="AL203" s="176">
        <f t="shared" si="206"/>
        <v>1</v>
      </c>
      <c r="AM203" s="176" t="e">
        <f t="shared" si="207"/>
        <v>#DIV/0!</v>
      </c>
      <c r="AN203" s="176">
        <f t="shared" si="208"/>
        <v>1</v>
      </c>
      <c r="AO203" s="176">
        <f t="shared" si="209"/>
        <v>1</v>
      </c>
      <c r="AP203" s="176" t="e">
        <f t="shared" si="210"/>
        <v>#DIV/0!</v>
      </c>
      <c r="AQ203" s="176">
        <f t="shared" si="211"/>
        <v>1</v>
      </c>
      <c r="AR203" s="176" t="e">
        <f t="shared" si="212"/>
        <v>#DIV/0!</v>
      </c>
      <c r="AS203" s="176" t="e">
        <f t="shared" si="213"/>
        <v>#DIV/0!</v>
      </c>
      <c r="AT203" s="176" t="e">
        <f t="shared" si="214"/>
        <v>#DIV/0!</v>
      </c>
      <c r="AU203" s="176">
        <f t="shared" si="215"/>
        <v>0.9951714285714286</v>
      </c>
      <c r="AV203" s="176">
        <f t="shared" si="216"/>
        <v>0.99725945945945949</v>
      </c>
    </row>
    <row r="204" spans="1:48" x14ac:dyDescent="0.25">
      <c r="A204" s="4" t="s">
        <v>359</v>
      </c>
      <c r="B204" s="5" t="s">
        <v>360</v>
      </c>
      <c r="C204" s="6">
        <f t="shared" ref="C204:N204" si="221">+C205+C220+C237+C267+C277</f>
        <v>914171706.53790987</v>
      </c>
      <c r="D204" s="6">
        <f t="shared" si="221"/>
        <v>2741075660.8913093</v>
      </c>
      <c r="E204" s="6">
        <f t="shared" si="221"/>
        <v>778044339.69627571</v>
      </c>
      <c r="F204" s="6">
        <f t="shared" si="221"/>
        <v>563144348.69627571</v>
      </c>
      <c r="G204" s="6">
        <f t="shared" si="221"/>
        <v>459574242.69627565</v>
      </c>
      <c r="H204" s="6">
        <f t="shared" si="221"/>
        <v>449961274.51530367</v>
      </c>
      <c r="I204" s="6">
        <f t="shared" si="221"/>
        <v>451664211.51530367</v>
      </c>
      <c r="J204" s="6">
        <f t="shared" si="221"/>
        <v>485479413.51530373</v>
      </c>
      <c r="K204" s="6">
        <f t="shared" si="221"/>
        <v>450630645.51530367</v>
      </c>
      <c r="L204" s="6">
        <f t="shared" si="221"/>
        <v>441082923.51530367</v>
      </c>
      <c r="M204" s="6">
        <f t="shared" si="221"/>
        <v>422922033.61530364</v>
      </c>
      <c r="N204" s="6">
        <f t="shared" si="221"/>
        <v>303951025.06588501</v>
      </c>
      <c r="O204" s="6">
        <f t="shared" si="220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>
        <f t="shared" ref="W204" si="222">+W205+W220+W237+W267+W277</f>
        <v>819966404</v>
      </c>
      <c r="X204" s="6"/>
      <c r="Y204" s="6"/>
      <c r="Z204" s="6"/>
      <c r="AA204" s="6"/>
      <c r="AB204" s="6"/>
      <c r="AC204" s="6"/>
      <c r="AD204" s="6"/>
      <c r="AE204" s="6"/>
      <c r="AF204" s="6">
        <f t="shared" si="202"/>
        <v>3951513685.4499998</v>
      </c>
      <c r="AG204" s="6">
        <f t="shared" si="203"/>
        <v>3951513685.4499998</v>
      </c>
      <c r="AI204" s="174">
        <f t="shared" si="219"/>
        <v>-1.5556010555803801</v>
      </c>
      <c r="AJ204" s="174">
        <f t="shared" si="204"/>
        <v>0.89581959264227573</v>
      </c>
      <c r="AK204" s="174">
        <f t="shared" si="205"/>
        <v>0.34486674051381194</v>
      </c>
      <c r="AL204" s="174">
        <f t="shared" si="206"/>
        <v>-0.45605013332423194</v>
      </c>
      <c r="AM204" s="174">
        <f t="shared" si="207"/>
        <v>1</v>
      </c>
      <c r="AN204" s="174">
        <f t="shared" si="208"/>
        <v>1</v>
      </c>
      <c r="AO204" s="174">
        <f t="shared" si="209"/>
        <v>1</v>
      </c>
      <c r="AP204" s="174">
        <f t="shared" si="210"/>
        <v>1</v>
      </c>
      <c r="AQ204" s="174">
        <f t="shared" si="211"/>
        <v>1</v>
      </c>
      <c r="AR204" s="174">
        <f t="shared" si="212"/>
        <v>1</v>
      </c>
      <c r="AS204" s="174">
        <f t="shared" si="213"/>
        <v>1</v>
      </c>
      <c r="AT204" s="174">
        <f t="shared" si="214"/>
        <v>1</v>
      </c>
      <c r="AU204" s="174">
        <f t="shared" si="215"/>
        <v>0.20913354212834234</v>
      </c>
      <c r="AV204" s="174">
        <f t="shared" si="216"/>
        <v>0.53301194407335051</v>
      </c>
    </row>
    <row r="205" spans="1:48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223">+D206+D211+D214+D217+D216+D213</f>
        <v>83374199.384520814</v>
      </c>
      <c r="E205" s="9">
        <f t="shared" si="223"/>
        <v>96734896.384520814</v>
      </c>
      <c r="F205" s="9">
        <f t="shared" si="223"/>
        <v>112919315.38452081</v>
      </c>
      <c r="G205" s="9">
        <f t="shared" si="223"/>
        <v>81714896.384520814</v>
      </c>
      <c r="H205" s="9">
        <f t="shared" si="223"/>
        <v>81646757.384520814</v>
      </c>
      <c r="I205" s="9">
        <f t="shared" si="223"/>
        <v>100182390.38452081</v>
      </c>
      <c r="J205" s="9">
        <f t="shared" si="223"/>
        <v>81714896.384520814</v>
      </c>
      <c r="K205" s="9">
        <f t="shared" si="223"/>
        <v>83048824.384520814</v>
      </c>
      <c r="L205" s="9">
        <f t="shared" si="223"/>
        <v>89734896.384520814</v>
      </c>
      <c r="M205" s="9">
        <f t="shared" si="223"/>
        <v>81714896.384520814</v>
      </c>
      <c r="N205" s="9">
        <f t="shared" si="223"/>
        <v>78567374.380556673</v>
      </c>
      <c r="O205" s="9">
        <f t="shared" si="220"/>
        <v>403301936.28141743</v>
      </c>
      <c r="P205" s="9">
        <f t="shared" si="223"/>
        <v>1081626868.3536198</v>
      </c>
      <c r="R205" s="7" t="s">
        <v>361</v>
      </c>
      <c r="S205" s="8" t="s">
        <v>362</v>
      </c>
      <c r="T205" s="9">
        <f>+T206+T211+T214+T217+T216</f>
        <v>174322917</v>
      </c>
      <c r="U205" s="9">
        <v>72627334</v>
      </c>
      <c r="V205" s="9">
        <v>53291031.450000003</v>
      </c>
      <c r="W205" s="9">
        <f t="shared" ref="W205" si="224">+W206+W211+W214+W217+W216+W213</f>
        <v>92316232</v>
      </c>
      <c r="X205" s="9"/>
      <c r="Y205" s="9"/>
      <c r="Z205" s="9"/>
      <c r="AA205" s="9"/>
      <c r="AB205" s="9"/>
      <c r="AC205" s="9"/>
      <c r="AD205" s="9"/>
      <c r="AE205" s="9"/>
      <c r="AF205" s="9">
        <f t="shared" si="202"/>
        <v>392557514.44999999</v>
      </c>
      <c r="AG205" s="9">
        <f t="shared" si="203"/>
        <v>392557514.44999999</v>
      </c>
      <c r="AI205" s="175">
        <f t="shared" si="219"/>
        <v>-0.58082292914717271</v>
      </c>
      <c r="AJ205" s="175">
        <f t="shared" si="204"/>
        <v>0.12889917341162579</v>
      </c>
      <c r="AK205" s="175">
        <f t="shared" si="205"/>
        <v>0.44910230494103831</v>
      </c>
      <c r="AL205" s="175">
        <f t="shared" si="206"/>
        <v>0.1824584511016715</v>
      </c>
      <c r="AM205" s="175">
        <f t="shared" si="207"/>
        <v>1</v>
      </c>
      <c r="AN205" s="175">
        <f t="shared" si="208"/>
        <v>1</v>
      </c>
      <c r="AO205" s="175">
        <f t="shared" si="209"/>
        <v>1</v>
      </c>
      <c r="AP205" s="175">
        <f t="shared" si="210"/>
        <v>1</v>
      </c>
      <c r="AQ205" s="175">
        <f t="shared" si="211"/>
        <v>1</v>
      </c>
      <c r="AR205" s="175">
        <f t="shared" si="212"/>
        <v>1</v>
      </c>
      <c r="AS205" s="175">
        <f t="shared" si="213"/>
        <v>1</v>
      </c>
      <c r="AT205" s="175">
        <f t="shared" si="214"/>
        <v>1</v>
      </c>
      <c r="AU205" s="175">
        <f t="shared" si="215"/>
        <v>2.6641136242698725E-2</v>
      </c>
      <c r="AV205" s="175">
        <f t="shared" si="216"/>
        <v>0.63706752676408185</v>
      </c>
    </row>
    <row r="206" spans="1:48" x14ac:dyDescent="0.25">
      <c r="A206" s="7" t="s">
        <v>363</v>
      </c>
      <c r="B206" s="8" t="s">
        <v>364</v>
      </c>
      <c r="C206" s="9">
        <f t="shared" ref="C206:N206" si="225">+C207+C208+C209+C210</f>
        <v>21495260.739369988</v>
      </c>
      <c r="D206" s="9">
        <f t="shared" si="225"/>
        <v>2500000</v>
      </c>
      <c r="E206" s="9">
        <f t="shared" si="225"/>
        <v>17860697</v>
      </c>
      <c r="F206" s="9">
        <f t="shared" si="225"/>
        <v>26045116</v>
      </c>
      <c r="G206" s="9">
        <f t="shared" si="225"/>
        <v>2840697</v>
      </c>
      <c r="H206" s="9">
        <f t="shared" si="225"/>
        <v>2772558</v>
      </c>
      <c r="I206" s="9">
        <f t="shared" si="225"/>
        <v>8308191</v>
      </c>
      <c r="J206" s="9">
        <f t="shared" si="225"/>
        <v>2840697</v>
      </c>
      <c r="K206" s="9">
        <f t="shared" si="225"/>
        <v>2681705</v>
      </c>
      <c r="L206" s="9">
        <f t="shared" si="225"/>
        <v>10860697</v>
      </c>
      <c r="M206" s="9">
        <f t="shared" si="225"/>
        <v>2840697</v>
      </c>
      <c r="N206" s="9">
        <f t="shared" si="225"/>
        <v>3045116</v>
      </c>
      <c r="O206" s="9">
        <f t="shared" si="220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f t="shared" ref="W206" si="226">SUM(W207:W210)</f>
        <v>5234560</v>
      </c>
      <c r="X206" s="9"/>
      <c r="Y206" s="9"/>
      <c r="Z206" s="9"/>
      <c r="AA206" s="9"/>
      <c r="AB206" s="9"/>
      <c r="AC206" s="9"/>
      <c r="AD206" s="9"/>
      <c r="AE206" s="9"/>
      <c r="AF206" s="9">
        <f t="shared" si="202"/>
        <v>90454560</v>
      </c>
      <c r="AG206" s="9">
        <f t="shared" si="203"/>
        <v>90454560</v>
      </c>
      <c r="AI206" s="175">
        <f t="shared" si="219"/>
        <v>-2.5356630897154453</v>
      </c>
      <c r="AJ206" s="175">
        <f t="shared" si="204"/>
        <v>-2.6880000000000002</v>
      </c>
      <c r="AK206" s="175">
        <f t="shared" si="205"/>
        <v>1</v>
      </c>
      <c r="AL206" s="175">
        <f t="shared" si="206"/>
        <v>0.7990195167493207</v>
      </c>
      <c r="AM206" s="175">
        <f t="shared" si="207"/>
        <v>1</v>
      </c>
      <c r="AN206" s="175">
        <f t="shared" si="208"/>
        <v>1</v>
      </c>
      <c r="AO206" s="175">
        <f t="shared" si="209"/>
        <v>1</v>
      </c>
      <c r="AP206" s="175">
        <f t="shared" si="210"/>
        <v>1</v>
      </c>
      <c r="AQ206" s="175">
        <f t="shared" si="211"/>
        <v>1</v>
      </c>
      <c r="AR206" s="175">
        <f t="shared" si="212"/>
        <v>1</v>
      </c>
      <c r="AS206" s="175">
        <f t="shared" si="213"/>
        <v>1</v>
      </c>
      <c r="AT206" s="175">
        <f t="shared" si="214"/>
        <v>1</v>
      </c>
      <c r="AU206" s="175">
        <f t="shared" si="215"/>
        <v>-0.33215212983521919</v>
      </c>
      <c r="AV206" s="175">
        <f t="shared" si="216"/>
        <v>0.13100859034694382</v>
      </c>
    </row>
    <row r="207" spans="1:48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220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61">
        <v>4009560</v>
      </c>
      <c r="X207" s="21"/>
      <c r="Y207" s="21"/>
      <c r="Z207" s="21"/>
      <c r="AA207" s="21"/>
      <c r="AB207" s="21"/>
      <c r="AC207" s="21"/>
      <c r="AD207" s="21"/>
      <c r="AE207" s="21"/>
      <c r="AF207" s="261">
        <f t="shared" si="202"/>
        <v>13004821</v>
      </c>
      <c r="AG207" s="21">
        <f t="shared" si="203"/>
        <v>13004821</v>
      </c>
      <c r="AI207" s="176">
        <f t="shared" si="219"/>
        <v>0.52644708996511813</v>
      </c>
      <c r="AJ207" s="176" t="e">
        <f t="shared" si="204"/>
        <v>#DIV/0!</v>
      </c>
      <c r="AK207" s="176" t="e">
        <f t="shared" si="205"/>
        <v>#DIV/0!</v>
      </c>
      <c r="AL207" s="176" t="e">
        <f t="shared" si="206"/>
        <v>#DIV/0!</v>
      </c>
      <c r="AM207" s="176" t="e">
        <f t="shared" si="207"/>
        <v>#DIV/0!</v>
      </c>
      <c r="AN207" s="176" t="e">
        <f t="shared" si="208"/>
        <v>#DIV/0!</v>
      </c>
      <c r="AO207" s="176" t="e">
        <f t="shared" si="209"/>
        <v>#DIV/0!</v>
      </c>
      <c r="AP207" s="176" t="e">
        <f t="shared" si="210"/>
        <v>#DIV/0!</v>
      </c>
      <c r="AQ207" s="176" t="e">
        <f t="shared" si="211"/>
        <v>#DIV/0!</v>
      </c>
      <c r="AR207" s="176" t="e">
        <f t="shared" si="212"/>
        <v>#DIV/0!</v>
      </c>
      <c r="AS207" s="176" t="e">
        <f t="shared" si="213"/>
        <v>#DIV/0!</v>
      </c>
      <c r="AT207" s="176" t="e">
        <f t="shared" si="214"/>
        <v>#DIV/0!</v>
      </c>
      <c r="AU207" s="176">
        <f t="shared" si="215"/>
        <v>0.31536496505963058</v>
      </c>
      <c r="AV207" s="176">
        <f t="shared" si="216"/>
        <v>0.31536496505963058</v>
      </c>
    </row>
    <row r="208" spans="1:48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220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61">
        <v>0</v>
      </c>
      <c r="X208" s="21"/>
      <c r="Y208" s="21"/>
      <c r="Z208" s="21"/>
      <c r="AA208" s="21"/>
      <c r="AB208" s="21"/>
      <c r="AC208" s="21"/>
      <c r="AD208" s="21"/>
      <c r="AE208" s="21"/>
      <c r="AF208" s="261">
        <f t="shared" si="202"/>
        <v>13500000</v>
      </c>
      <c r="AG208" s="21">
        <f t="shared" si="203"/>
        <v>13500000</v>
      </c>
      <c r="AI208" s="176" t="e">
        <f t="shared" si="219"/>
        <v>#DIV/0!</v>
      </c>
      <c r="AJ208" s="176" t="e">
        <f t="shared" si="204"/>
        <v>#DIV/0!</v>
      </c>
      <c r="AK208" s="176" t="e">
        <f t="shared" si="205"/>
        <v>#DIV/0!</v>
      </c>
      <c r="AL208" s="176">
        <f t="shared" si="206"/>
        <v>1</v>
      </c>
      <c r="AM208" s="176" t="e">
        <f t="shared" si="207"/>
        <v>#DIV/0!</v>
      </c>
      <c r="AN208" s="176" t="e">
        <f t="shared" si="208"/>
        <v>#DIV/0!</v>
      </c>
      <c r="AO208" s="176">
        <f t="shared" si="209"/>
        <v>1</v>
      </c>
      <c r="AP208" s="176" t="e">
        <f t="shared" si="210"/>
        <v>#DIV/0!</v>
      </c>
      <c r="AQ208" s="176" t="e">
        <f t="shared" si="211"/>
        <v>#DIV/0!</v>
      </c>
      <c r="AR208" s="176">
        <f t="shared" si="212"/>
        <v>1</v>
      </c>
      <c r="AS208" s="176" t="e">
        <f t="shared" si="213"/>
        <v>#DIV/0!</v>
      </c>
      <c r="AT208" s="176" t="e">
        <f t="shared" si="214"/>
        <v>#DIV/0!</v>
      </c>
      <c r="AU208" s="176">
        <f t="shared" si="215"/>
        <v>-3.5</v>
      </c>
      <c r="AV208" s="176">
        <f t="shared" si="216"/>
        <v>-0.58823529411764708</v>
      </c>
    </row>
    <row r="209" spans="1:48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220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0</v>
      </c>
      <c r="W209" s="261">
        <v>1225000</v>
      </c>
      <c r="X209" s="21"/>
      <c r="Y209" s="21"/>
      <c r="Z209" s="21"/>
      <c r="AA209" s="21"/>
      <c r="AB209" s="21"/>
      <c r="AC209" s="21"/>
      <c r="AD209" s="21"/>
      <c r="AE209" s="21"/>
      <c r="AF209" s="261">
        <f t="shared" si="202"/>
        <v>62041171</v>
      </c>
      <c r="AG209" s="21">
        <f t="shared" si="203"/>
        <v>62041171</v>
      </c>
      <c r="AI209" s="176">
        <f t="shared" si="219"/>
        <v>-21.638468400000001</v>
      </c>
      <c r="AJ209" s="176">
        <f t="shared" si="204"/>
        <v>-0.68799999999999994</v>
      </c>
      <c r="AK209" s="176">
        <f t="shared" si="205"/>
        <v>1</v>
      </c>
      <c r="AL209" s="176">
        <f t="shared" si="206"/>
        <v>0.93211459543956376</v>
      </c>
      <c r="AM209" s="176">
        <f t="shared" si="207"/>
        <v>1</v>
      </c>
      <c r="AN209" s="176">
        <f t="shared" si="208"/>
        <v>1</v>
      </c>
      <c r="AO209" s="176">
        <f t="shared" si="209"/>
        <v>1</v>
      </c>
      <c r="AP209" s="176">
        <f t="shared" si="210"/>
        <v>1</v>
      </c>
      <c r="AQ209" s="176">
        <f t="shared" si="211"/>
        <v>1</v>
      </c>
      <c r="AR209" s="176">
        <f t="shared" si="212"/>
        <v>1</v>
      </c>
      <c r="AS209" s="176">
        <f t="shared" si="213"/>
        <v>1</v>
      </c>
      <c r="AT209" s="176">
        <f t="shared" si="214"/>
        <v>1</v>
      </c>
      <c r="AU209" s="176">
        <f t="shared" si="215"/>
        <v>-0.72788654026577815</v>
      </c>
      <c r="AV209" s="176">
        <f t="shared" si="216"/>
        <v>6.8397325726129207E-2</v>
      </c>
    </row>
    <row r="210" spans="1:48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220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61">
        <v>0</v>
      </c>
      <c r="X210" s="21"/>
      <c r="Y210" s="21"/>
      <c r="Z210" s="21"/>
      <c r="AA210" s="21"/>
      <c r="AB210" s="21"/>
      <c r="AC210" s="21"/>
      <c r="AD210" s="21"/>
      <c r="AE210" s="21"/>
      <c r="AF210" s="261">
        <f t="shared" si="202"/>
        <v>1908568</v>
      </c>
      <c r="AG210" s="21">
        <f t="shared" si="203"/>
        <v>1908568</v>
      </c>
      <c r="AI210" s="176" t="e">
        <f t="shared" si="219"/>
        <v>#DIV/0!</v>
      </c>
      <c r="AJ210" s="176" t="e">
        <f t="shared" si="204"/>
        <v>#DIV/0!</v>
      </c>
      <c r="AK210" s="176">
        <f t="shared" si="205"/>
        <v>1</v>
      </c>
      <c r="AL210" s="176">
        <f t="shared" si="206"/>
        <v>1</v>
      </c>
      <c r="AM210" s="176" t="e">
        <f t="shared" si="207"/>
        <v>#DIV/0!</v>
      </c>
      <c r="AN210" s="176" t="e">
        <f t="shared" si="208"/>
        <v>#DIV/0!</v>
      </c>
      <c r="AO210" s="176" t="e">
        <f t="shared" si="209"/>
        <v>#DIV/0!</v>
      </c>
      <c r="AP210" s="176" t="e">
        <f t="shared" si="210"/>
        <v>#DIV/0!</v>
      </c>
      <c r="AQ210" s="176" t="e">
        <f t="shared" si="211"/>
        <v>#DIV/0!</v>
      </c>
      <c r="AR210" s="176" t="e">
        <f t="shared" si="212"/>
        <v>#DIV/0!</v>
      </c>
      <c r="AS210" s="176" t="e">
        <f t="shared" si="213"/>
        <v>#DIV/0!</v>
      </c>
      <c r="AT210" s="176" t="e">
        <f t="shared" si="214"/>
        <v>#DIV/0!</v>
      </c>
      <c r="AU210" s="176">
        <f t="shared" si="215"/>
        <v>0.80914319999999995</v>
      </c>
      <c r="AV210" s="176">
        <f t="shared" si="216"/>
        <v>0.80914319999999995</v>
      </c>
    </row>
    <row r="211" spans="1:48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227">+D212</f>
        <v>0</v>
      </c>
      <c r="E211" s="9">
        <f t="shared" si="227"/>
        <v>0</v>
      </c>
      <c r="F211" s="9">
        <f t="shared" si="227"/>
        <v>8000000</v>
      </c>
      <c r="G211" s="9">
        <f t="shared" si="227"/>
        <v>0</v>
      </c>
      <c r="H211" s="9">
        <f t="shared" si="227"/>
        <v>0</v>
      </c>
      <c r="I211" s="9">
        <f t="shared" si="227"/>
        <v>0</v>
      </c>
      <c r="J211" s="9">
        <f t="shared" si="227"/>
        <v>0</v>
      </c>
      <c r="K211" s="9">
        <f t="shared" si="227"/>
        <v>1492920</v>
      </c>
      <c r="L211" s="9">
        <f t="shared" si="227"/>
        <v>0</v>
      </c>
      <c r="M211" s="9">
        <f t="shared" si="227"/>
        <v>0</v>
      </c>
      <c r="N211" s="9">
        <f t="shared" si="227"/>
        <v>0</v>
      </c>
      <c r="O211" s="9">
        <f t="shared" si="220"/>
        <v>14552124</v>
      </c>
      <c r="P211" s="9">
        <f t="shared" si="227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f t="shared" ref="W211" si="228">+W212</f>
        <v>950000</v>
      </c>
      <c r="X211" s="9"/>
      <c r="Y211" s="9"/>
      <c r="Z211" s="9"/>
      <c r="AA211" s="9"/>
      <c r="AB211" s="9"/>
      <c r="AC211" s="9"/>
      <c r="AD211" s="9"/>
      <c r="AE211" s="9"/>
      <c r="AF211" s="9">
        <f t="shared" si="202"/>
        <v>5730000</v>
      </c>
      <c r="AG211" s="9">
        <f t="shared" si="203"/>
        <v>5730000</v>
      </c>
      <c r="AI211" s="175">
        <f t="shared" si="219"/>
        <v>0.5573954339081495</v>
      </c>
      <c r="AJ211" s="175" t="e">
        <f t="shared" si="204"/>
        <v>#DIV/0!</v>
      </c>
      <c r="AK211" s="175" t="e">
        <f t="shared" si="205"/>
        <v>#DIV/0!</v>
      </c>
      <c r="AL211" s="175">
        <f t="shared" si="206"/>
        <v>0.88124999999999998</v>
      </c>
      <c r="AM211" s="175" t="e">
        <f t="shared" si="207"/>
        <v>#DIV/0!</v>
      </c>
      <c r="AN211" s="175" t="e">
        <f t="shared" si="208"/>
        <v>#DIV/0!</v>
      </c>
      <c r="AO211" s="175" t="e">
        <f t="shared" si="209"/>
        <v>#DIV/0!</v>
      </c>
      <c r="AP211" s="175" t="e">
        <f t="shared" si="210"/>
        <v>#DIV/0!</v>
      </c>
      <c r="AQ211" s="175">
        <f t="shared" si="211"/>
        <v>1</v>
      </c>
      <c r="AR211" s="175" t="e">
        <f t="shared" si="212"/>
        <v>#DIV/0!</v>
      </c>
      <c r="AS211" s="175" t="e">
        <f t="shared" si="213"/>
        <v>#DIV/0!</v>
      </c>
      <c r="AT211" s="175" t="e">
        <f t="shared" si="214"/>
        <v>#DIV/0!</v>
      </c>
      <c r="AU211" s="175">
        <f t="shared" si="215"/>
        <v>0.60624304740668788</v>
      </c>
      <c r="AV211" s="175">
        <f t="shared" si="216"/>
        <v>0.642880381007369</v>
      </c>
    </row>
    <row r="212" spans="1:48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220"/>
        <v>14552124</v>
      </c>
      <c r="P212" s="21">
        <f t="shared" ref="P212:P219" si="229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61">
        <v>950000</v>
      </c>
      <c r="X212" s="21"/>
      <c r="Y212" s="21"/>
      <c r="Z212" s="21"/>
      <c r="AA212" s="21"/>
      <c r="AB212" s="21"/>
      <c r="AC212" s="21"/>
      <c r="AD212" s="21"/>
      <c r="AE212" s="21"/>
      <c r="AF212" s="261">
        <f t="shared" si="202"/>
        <v>5730000</v>
      </c>
      <c r="AG212" s="21">
        <f t="shared" si="203"/>
        <v>5730000</v>
      </c>
      <c r="AI212" s="176">
        <f t="shared" si="219"/>
        <v>0.5573954339081495</v>
      </c>
      <c r="AJ212" s="176" t="e">
        <f t="shared" si="204"/>
        <v>#DIV/0!</v>
      </c>
      <c r="AK212" s="176" t="e">
        <f t="shared" si="205"/>
        <v>#DIV/0!</v>
      </c>
      <c r="AL212" s="176">
        <f t="shared" si="206"/>
        <v>0.88124999999999998</v>
      </c>
      <c r="AM212" s="176" t="e">
        <f t="shared" si="207"/>
        <v>#DIV/0!</v>
      </c>
      <c r="AN212" s="176" t="e">
        <f t="shared" si="208"/>
        <v>#DIV/0!</v>
      </c>
      <c r="AO212" s="176" t="e">
        <f t="shared" si="209"/>
        <v>#DIV/0!</v>
      </c>
      <c r="AP212" s="176" t="e">
        <f t="shared" si="210"/>
        <v>#DIV/0!</v>
      </c>
      <c r="AQ212" s="176">
        <f t="shared" si="211"/>
        <v>1</v>
      </c>
      <c r="AR212" s="176" t="e">
        <f t="shared" si="212"/>
        <v>#DIV/0!</v>
      </c>
      <c r="AS212" s="176" t="e">
        <f t="shared" si="213"/>
        <v>#DIV/0!</v>
      </c>
      <c r="AT212" s="176" t="e">
        <f t="shared" si="214"/>
        <v>#DIV/0!</v>
      </c>
      <c r="AU212" s="176">
        <f t="shared" si="215"/>
        <v>0.60624304740668788</v>
      </c>
      <c r="AV212" s="176">
        <f t="shared" si="216"/>
        <v>0.642880381007369</v>
      </c>
    </row>
    <row r="213" spans="1:48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220"/>
        <v>2000000</v>
      </c>
      <c r="P213" s="21">
        <f t="shared" si="229"/>
        <v>2000000</v>
      </c>
      <c r="R213" s="2" t="s">
        <v>377</v>
      </c>
      <c r="S213" s="19" t="s">
        <v>378</v>
      </c>
      <c r="T213" s="21">
        <v>1500000</v>
      </c>
      <c r="U213" s="21">
        <v>1000000</v>
      </c>
      <c r="V213" s="21">
        <v>0</v>
      </c>
      <c r="W213" s="261">
        <v>0</v>
      </c>
      <c r="X213" s="21"/>
      <c r="Y213" s="21"/>
      <c r="Z213" s="21"/>
      <c r="AA213" s="21"/>
      <c r="AB213" s="21"/>
      <c r="AC213" s="21"/>
      <c r="AD213" s="21"/>
      <c r="AE213" s="21"/>
      <c r="AF213" s="261">
        <f t="shared" si="202"/>
        <v>2500000</v>
      </c>
      <c r="AG213" s="21">
        <f t="shared" si="203"/>
        <v>2500000</v>
      </c>
      <c r="AI213" s="176" t="e">
        <f t="shared" si="219"/>
        <v>#DIV/0!</v>
      </c>
      <c r="AJ213" s="176">
        <f t="shared" si="204"/>
        <v>0.5</v>
      </c>
      <c r="AK213" s="176" t="e">
        <f t="shared" si="205"/>
        <v>#DIV/0!</v>
      </c>
      <c r="AL213" s="176" t="e">
        <f t="shared" si="206"/>
        <v>#DIV/0!</v>
      </c>
      <c r="AM213" s="176" t="e">
        <f t="shared" si="207"/>
        <v>#DIV/0!</v>
      </c>
      <c r="AN213" s="176" t="e">
        <f t="shared" si="208"/>
        <v>#DIV/0!</v>
      </c>
      <c r="AO213" s="176" t="e">
        <f t="shared" si="209"/>
        <v>#DIV/0!</v>
      </c>
      <c r="AP213" s="176" t="e">
        <f t="shared" si="210"/>
        <v>#DIV/0!</v>
      </c>
      <c r="AQ213" s="176" t="e">
        <f t="shared" si="211"/>
        <v>#DIV/0!</v>
      </c>
      <c r="AR213" s="176" t="e">
        <f t="shared" si="212"/>
        <v>#DIV/0!</v>
      </c>
      <c r="AS213" s="176" t="e">
        <f t="shared" si="213"/>
        <v>#DIV/0!</v>
      </c>
      <c r="AT213" s="176" t="e">
        <f t="shared" si="214"/>
        <v>#DIV/0!</v>
      </c>
      <c r="AU213" s="176">
        <f t="shared" si="215"/>
        <v>-0.25</v>
      </c>
      <c r="AV213" s="176">
        <f t="shared" si="216"/>
        <v>-0.25</v>
      </c>
    </row>
    <row r="214" spans="1:48" x14ac:dyDescent="0.25">
      <c r="A214" s="7" t="s">
        <v>379</v>
      </c>
      <c r="B214" s="8" t="s">
        <v>380</v>
      </c>
      <c r="C214" s="9">
        <f t="shared" ref="C214:N214" si="230">SUM(C215:C215)</f>
        <v>1666666.6666666667</v>
      </c>
      <c r="D214" s="9">
        <f t="shared" si="230"/>
        <v>1666666.6666666667</v>
      </c>
      <c r="E214" s="9">
        <f t="shared" si="230"/>
        <v>1666666.6666666667</v>
      </c>
      <c r="F214" s="9">
        <f t="shared" si="230"/>
        <v>1666666.6666666667</v>
      </c>
      <c r="G214" s="9">
        <f t="shared" si="230"/>
        <v>1666666.6666666667</v>
      </c>
      <c r="H214" s="9">
        <f t="shared" si="230"/>
        <v>1666666.6666666667</v>
      </c>
      <c r="I214" s="9">
        <f t="shared" si="230"/>
        <v>14666666.666666666</v>
      </c>
      <c r="J214" s="9">
        <f t="shared" si="230"/>
        <v>1666666.6666666667</v>
      </c>
      <c r="K214" s="9">
        <f t="shared" si="230"/>
        <v>1666666.6666666667</v>
      </c>
      <c r="L214" s="9">
        <f t="shared" si="230"/>
        <v>1666666.6666666667</v>
      </c>
      <c r="M214" s="9">
        <f t="shared" si="230"/>
        <v>1666666.6666666667</v>
      </c>
      <c r="N214" s="9">
        <f t="shared" si="230"/>
        <v>1666666.6666666667</v>
      </c>
      <c r="O214" s="9">
        <f t="shared" si="220"/>
        <v>6666666.666666667</v>
      </c>
      <c r="P214" s="9">
        <f t="shared" si="229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f t="shared" ref="W214" si="231">+W215</f>
        <v>0</v>
      </c>
      <c r="X214" s="9"/>
      <c r="Y214" s="9"/>
      <c r="Z214" s="9"/>
      <c r="AA214" s="9"/>
      <c r="AB214" s="9"/>
      <c r="AC214" s="9"/>
      <c r="AD214" s="9"/>
      <c r="AE214" s="9"/>
      <c r="AF214" s="9">
        <f t="shared" si="202"/>
        <v>11000000</v>
      </c>
      <c r="AG214" s="9">
        <f t="shared" si="203"/>
        <v>11000000</v>
      </c>
      <c r="AI214" s="175">
        <f t="shared" si="219"/>
        <v>-2.2999999999999998</v>
      </c>
      <c r="AJ214" s="175">
        <f t="shared" si="204"/>
        <v>-2.2999999999999998</v>
      </c>
      <c r="AK214" s="175">
        <f t="shared" si="205"/>
        <v>1</v>
      </c>
      <c r="AL214" s="175">
        <f t="shared" si="206"/>
        <v>1</v>
      </c>
      <c r="AM214" s="175">
        <f t="shared" si="207"/>
        <v>1</v>
      </c>
      <c r="AN214" s="175">
        <f t="shared" si="208"/>
        <v>1</v>
      </c>
      <c r="AO214" s="175">
        <f t="shared" si="209"/>
        <v>1</v>
      </c>
      <c r="AP214" s="175">
        <f t="shared" si="210"/>
        <v>1</v>
      </c>
      <c r="AQ214" s="175">
        <f t="shared" si="211"/>
        <v>1</v>
      </c>
      <c r="AR214" s="175">
        <f t="shared" si="212"/>
        <v>1</v>
      </c>
      <c r="AS214" s="175">
        <f t="shared" si="213"/>
        <v>1</v>
      </c>
      <c r="AT214" s="175">
        <f t="shared" si="214"/>
        <v>1</v>
      </c>
      <c r="AU214" s="175">
        <f t="shared" si="215"/>
        <v>-0.64999999999999991</v>
      </c>
      <c r="AV214" s="175">
        <f t="shared" si="216"/>
        <v>0.66666666666666674</v>
      </c>
    </row>
    <row r="215" spans="1:48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220"/>
        <v>6666666.666666667</v>
      </c>
      <c r="P215" s="21">
        <f t="shared" si="229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61">
        <v>0</v>
      </c>
      <c r="X215" s="21"/>
      <c r="Y215" s="21"/>
      <c r="Z215" s="21"/>
      <c r="AA215" s="21"/>
      <c r="AB215" s="21"/>
      <c r="AC215" s="21"/>
      <c r="AD215" s="21"/>
      <c r="AE215" s="21"/>
      <c r="AF215" s="261">
        <f t="shared" si="202"/>
        <v>11000000</v>
      </c>
      <c r="AG215" s="21">
        <f t="shared" si="203"/>
        <v>11000000</v>
      </c>
      <c r="AI215" s="176">
        <f t="shared" si="219"/>
        <v>-2.2999999999999998</v>
      </c>
      <c r="AJ215" s="176">
        <f t="shared" si="204"/>
        <v>-2.2999999999999998</v>
      </c>
      <c r="AK215" s="176">
        <f t="shared" si="205"/>
        <v>1</v>
      </c>
      <c r="AL215" s="176">
        <f t="shared" si="206"/>
        <v>1</v>
      </c>
      <c r="AM215" s="176">
        <f t="shared" si="207"/>
        <v>1</v>
      </c>
      <c r="AN215" s="176">
        <f t="shared" si="208"/>
        <v>1</v>
      </c>
      <c r="AO215" s="176">
        <f t="shared" si="209"/>
        <v>1</v>
      </c>
      <c r="AP215" s="176">
        <f t="shared" si="210"/>
        <v>1</v>
      </c>
      <c r="AQ215" s="176">
        <f t="shared" si="211"/>
        <v>1</v>
      </c>
      <c r="AR215" s="176">
        <f t="shared" si="212"/>
        <v>1</v>
      </c>
      <c r="AS215" s="176">
        <f t="shared" si="213"/>
        <v>1</v>
      </c>
      <c r="AT215" s="176">
        <f t="shared" si="214"/>
        <v>1</v>
      </c>
      <c r="AU215" s="176">
        <f t="shared" si="215"/>
        <v>-0.64999999999999991</v>
      </c>
      <c r="AV215" s="176">
        <f t="shared" si="216"/>
        <v>0.66666666666666674</v>
      </c>
    </row>
    <row r="216" spans="1:48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220"/>
        <v>43422366.855559997</v>
      </c>
      <c r="P216" s="21">
        <f t="shared" si="229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61">
        <v>0</v>
      </c>
      <c r="X216" s="21"/>
      <c r="Y216" s="21"/>
      <c r="Z216" s="21"/>
      <c r="AA216" s="21"/>
      <c r="AB216" s="21"/>
      <c r="AC216" s="21"/>
      <c r="AD216" s="21"/>
      <c r="AE216" s="21"/>
      <c r="AF216" s="261">
        <f t="shared" si="202"/>
        <v>11000000</v>
      </c>
      <c r="AG216" s="21">
        <f t="shared" si="203"/>
        <v>11000000</v>
      </c>
      <c r="AI216" s="176">
        <f t="shared" si="219"/>
        <v>-1.3302663725389257E-2</v>
      </c>
      <c r="AJ216" s="176">
        <f t="shared" si="204"/>
        <v>1</v>
      </c>
      <c r="AK216" s="176">
        <f t="shared" si="205"/>
        <v>1</v>
      </c>
      <c r="AL216" s="176">
        <f t="shared" si="206"/>
        <v>1</v>
      </c>
      <c r="AM216" s="176">
        <f t="shared" si="207"/>
        <v>1</v>
      </c>
      <c r="AN216" s="176">
        <f t="shared" si="208"/>
        <v>1</v>
      </c>
      <c r="AO216" s="176">
        <f t="shared" si="209"/>
        <v>1</v>
      </c>
      <c r="AP216" s="176">
        <f t="shared" si="210"/>
        <v>1</v>
      </c>
      <c r="AQ216" s="176">
        <f t="shared" si="211"/>
        <v>1</v>
      </c>
      <c r="AR216" s="176">
        <f t="shared" si="212"/>
        <v>1</v>
      </c>
      <c r="AS216" s="176">
        <f t="shared" si="213"/>
        <v>1</v>
      </c>
      <c r="AT216" s="176">
        <f t="shared" si="214"/>
        <v>1</v>
      </c>
      <c r="AU216" s="176">
        <f t="shared" si="215"/>
        <v>0.74667433406865269</v>
      </c>
      <c r="AV216" s="176">
        <f t="shared" si="216"/>
        <v>0.91555811135621756</v>
      </c>
    </row>
    <row r="217" spans="1:48" x14ac:dyDescent="0.25">
      <c r="A217" s="7" t="s">
        <v>385</v>
      </c>
      <c r="B217" s="8" t="s">
        <v>386</v>
      </c>
      <c r="C217" s="9">
        <f t="shared" ref="C217:N217" si="232">+C218+C219</f>
        <v>69703882.007928282</v>
      </c>
      <c r="D217" s="9">
        <f t="shared" si="232"/>
        <v>66351941.003964141</v>
      </c>
      <c r="E217" s="9">
        <f t="shared" si="232"/>
        <v>66351941.003964141</v>
      </c>
      <c r="F217" s="9">
        <f t="shared" si="232"/>
        <v>66351941.003964141</v>
      </c>
      <c r="G217" s="9">
        <f t="shared" si="232"/>
        <v>66351941.003964141</v>
      </c>
      <c r="H217" s="9">
        <f t="shared" si="232"/>
        <v>66351941.003964141</v>
      </c>
      <c r="I217" s="9">
        <f t="shared" si="232"/>
        <v>66351941.003964141</v>
      </c>
      <c r="J217" s="9">
        <f t="shared" si="232"/>
        <v>66351941.003964141</v>
      </c>
      <c r="K217" s="9">
        <f t="shared" si="232"/>
        <v>66351941.003964141</v>
      </c>
      <c r="L217" s="9">
        <f t="shared" si="232"/>
        <v>66351941.003964141</v>
      </c>
      <c r="M217" s="9">
        <f t="shared" si="232"/>
        <v>66351941.003964141</v>
      </c>
      <c r="N217" s="9">
        <f t="shared" si="232"/>
        <v>63000000</v>
      </c>
      <c r="O217" s="9">
        <f t="shared" si="220"/>
        <v>268759705.01982069</v>
      </c>
      <c r="P217" s="9">
        <f t="shared" si="229"/>
        <v>796223292.04756975</v>
      </c>
      <c r="R217" s="7" t="s">
        <v>385</v>
      </c>
      <c r="S217" s="8" t="s">
        <v>386</v>
      </c>
      <c r="T217" s="9">
        <f>+T218+T219</f>
        <v>78922917</v>
      </c>
      <c r="U217" s="9">
        <v>55927334</v>
      </c>
      <c r="V217" s="9">
        <v>52391031.450000003</v>
      </c>
      <c r="W217" s="9">
        <f t="shared" ref="W217" si="233">+W218+W219</f>
        <v>86131672</v>
      </c>
      <c r="X217" s="9"/>
      <c r="Y217" s="9"/>
      <c r="Z217" s="9"/>
      <c r="AA217" s="9"/>
      <c r="AB217" s="9"/>
      <c r="AC217" s="9"/>
      <c r="AD217" s="9"/>
      <c r="AE217" s="9"/>
      <c r="AF217" s="9">
        <f t="shared" si="202"/>
        <v>273372954.44999999</v>
      </c>
      <c r="AG217" s="9">
        <f t="shared" si="203"/>
        <v>273372954.44999999</v>
      </c>
      <c r="AI217" s="175">
        <f t="shared" si="219"/>
        <v>-0.13225999365463065</v>
      </c>
      <c r="AJ217" s="175">
        <f t="shared" si="204"/>
        <v>0.15711080710270905</v>
      </c>
      <c r="AK217" s="175">
        <f t="shared" si="205"/>
        <v>0.21040695031257722</v>
      </c>
      <c r="AL217" s="175">
        <f t="shared" si="206"/>
        <v>-0.29810327620791283</v>
      </c>
      <c r="AM217" s="175">
        <f t="shared" si="207"/>
        <v>1</v>
      </c>
      <c r="AN217" s="175">
        <f t="shared" si="208"/>
        <v>1</v>
      </c>
      <c r="AO217" s="175">
        <f t="shared" si="209"/>
        <v>1</v>
      </c>
      <c r="AP217" s="175">
        <f t="shared" si="210"/>
        <v>1</v>
      </c>
      <c r="AQ217" s="175">
        <f t="shared" si="211"/>
        <v>1</v>
      </c>
      <c r="AR217" s="175">
        <f t="shared" si="212"/>
        <v>1</v>
      </c>
      <c r="AS217" s="175">
        <f t="shared" si="213"/>
        <v>1</v>
      </c>
      <c r="AT217" s="175">
        <f t="shared" si="214"/>
        <v>1</v>
      </c>
      <c r="AU217" s="175">
        <f t="shared" si="215"/>
        <v>-1.7164959419192237E-2</v>
      </c>
      <c r="AV217" s="175">
        <f t="shared" si="216"/>
        <v>0.65666295223919735</v>
      </c>
    </row>
    <row r="218" spans="1:48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220"/>
        <v>196759705.01982069</v>
      </c>
      <c r="P218" s="21">
        <f t="shared" si="229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61">
        <v>61175422</v>
      </c>
      <c r="X218" s="21"/>
      <c r="Y218" s="21"/>
      <c r="Z218" s="21"/>
      <c r="AA218" s="21"/>
      <c r="AB218" s="21"/>
      <c r="AC218" s="21"/>
      <c r="AD218" s="21"/>
      <c r="AE218" s="21"/>
      <c r="AF218" s="261">
        <f t="shared" si="202"/>
        <v>197547608.44999999</v>
      </c>
      <c r="AG218" s="21">
        <f t="shared" si="203"/>
        <v>197547608.44999999</v>
      </c>
      <c r="AI218" s="176">
        <f t="shared" si="219"/>
        <v>0.12078174337026938</v>
      </c>
      <c r="AJ218" s="176">
        <f t="shared" si="204"/>
        <v>9.5327776057351002E-2</v>
      </c>
      <c r="AK218" s="176">
        <f t="shared" si="205"/>
        <v>2.4433549707286416E-2</v>
      </c>
      <c r="AL218" s="176">
        <f t="shared" si="206"/>
        <v>-0.2652112972048945</v>
      </c>
      <c r="AM218" s="176">
        <f t="shared" si="207"/>
        <v>1</v>
      </c>
      <c r="AN218" s="176">
        <f t="shared" si="208"/>
        <v>1</v>
      </c>
      <c r="AO218" s="176">
        <f t="shared" si="209"/>
        <v>1</v>
      </c>
      <c r="AP218" s="176">
        <f t="shared" si="210"/>
        <v>1</v>
      </c>
      <c r="AQ218" s="176">
        <f t="shared" si="211"/>
        <v>1</v>
      </c>
      <c r="AR218" s="176">
        <f t="shared" si="212"/>
        <v>1</v>
      </c>
      <c r="AS218" s="176">
        <f t="shared" si="213"/>
        <v>1</v>
      </c>
      <c r="AT218" s="176">
        <f t="shared" si="214"/>
        <v>1</v>
      </c>
      <c r="AU218" s="176">
        <f t="shared" si="215"/>
        <v>-4.0043942437295692E-3</v>
      </c>
      <c r="AV218" s="176">
        <f t="shared" si="216"/>
        <v>0.65953175069399994</v>
      </c>
    </row>
    <row r="219" spans="1:48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220"/>
        <v>72000000</v>
      </c>
      <c r="P219" s="21">
        <f t="shared" si="229"/>
        <v>216000000</v>
      </c>
      <c r="R219" s="2" t="s">
        <v>389</v>
      </c>
      <c r="S219" s="19" t="s">
        <v>390</v>
      </c>
      <c r="T219" s="21">
        <v>33463920</v>
      </c>
      <c r="U219" s="21">
        <v>12184676</v>
      </c>
      <c r="V219" s="21">
        <v>5220500</v>
      </c>
      <c r="W219" s="261">
        <v>24956250</v>
      </c>
      <c r="X219" s="21"/>
      <c r="Y219" s="21"/>
      <c r="Z219" s="21"/>
      <c r="AA219" s="21"/>
      <c r="AB219" s="21"/>
      <c r="AC219" s="21"/>
      <c r="AD219" s="21"/>
      <c r="AE219" s="21"/>
      <c r="AF219" s="261">
        <f t="shared" si="202"/>
        <v>75825346</v>
      </c>
      <c r="AG219" s="21">
        <f t="shared" si="203"/>
        <v>75825346</v>
      </c>
      <c r="AI219" s="176">
        <f t="shared" si="219"/>
        <v>-0.85910666666666669</v>
      </c>
      <c r="AJ219" s="176">
        <f t="shared" si="204"/>
        <v>0.32307355555555556</v>
      </c>
      <c r="AK219" s="176">
        <f t="shared" si="205"/>
        <v>0.70997222222222223</v>
      </c>
      <c r="AL219" s="176">
        <f t="shared" si="206"/>
        <v>-0.38645833333333335</v>
      </c>
      <c r="AM219" s="176">
        <f t="shared" si="207"/>
        <v>1</v>
      </c>
      <c r="AN219" s="176">
        <f t="shared" si="208"/>
        <v>1</v>
      </c>
      <c r="AO219" s="176">
        <f t="shared" si="209"/>
        <v>1</v>
      </c>
      <c r="AP219" s="176">
        <f t="shared" si="210"/>
        <v>1</v>
      </c>
      <c r="AQ219" s="176">
        <f t="shared" si="211"/>
        <v>1</v>
      </c>
      <c r="AR219" s="176">
        <f t="shared" si="212"/>
        <v>1</v>
      </c>
      <c r="AS219" s="176">
        <f t="shared" si="213"/>
        <v>1</v>
      </c>
      <c r="AT219" s="176">
        <f t="shared" si="214"/>
        <v>1</v>
      </c>
      <c r="AU219" s="176">
        <f t="shared" si="215"/>
        <v>-5.3129805555555555E-2</v>
      </c>
      <c r="AV219" s="176">
        <f t="shared" si="216"/>
        <v>0.64895673148148147</v>
      </c>
    </row>
    <row r="220" spans="1:48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234">+D221+D230</f>
        <v>2200577976.909091</v>
      </c>
      <c r="E220" s="9">
        <f t="shared" si="234"/>
        <v>146471594.90909091</v>
      </c>
      <c r="F220" s="9">
        <f t="shared" si="234"/>
        <v>17136935.909090906</v>
      </c>
      <c r="G220" s="9">
        <f t="shared" si="234"/>
        <v>15636935.909090908</v>
      </c>
      <c r="H220" s="9">
        <f t="shared" si="234"/>
        <v>15636935.909090908</v>
      </c>
      <c r="I220" s="9">
        <f t="shared" si="234"/>
        <v>13636935.909090908</v>
      </c>
      <c r="J220" s="9">
        <f t="shared" si="234"/>
        <v>14736935.909090908</v>
      </c>
      <c r="K220" s="9">
        <f t="shared" si="234"/>
        <v>15136935.909090908</v>
      </c>
      <c r="L220" s="9">
        <f t="shared" si="234"/>
        <v>15636935.909090908</v>
      </c>
      <c r="M220" s="9">
        <f t="shared" si="234"/>
        <v>13636935.909090908</v>
      </c>
      <c r="N220" s="9">
        <f t="shared" si="234"/>
        <v>13527845</v>
      </c>
      <c r="O220" s="9">
        <f t="shared" si="220"/>
        <v>2377823443.636364</v>
      </c>
      <c r="P220" s="9">
        <f t="shared" si="234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f t="shared" ref="W220" si="235">+W221+W230+W235</f>
        <v>201149944.23999998</v>
      </c>
      <c r="X220" s="9"/>
      <c r="Y220" s="9"/>
      <c r="Z220" s="9"/>
      <c r="AA220" s="9"/>
      <c r="AB220" s="9"/>
      <c r="AC220" s="9"/>
      <c r="AD220" s="9"/>
      <c r="AE220" s="9"/>
      <c r="AF220" s="9">
        <f t="shared" si="202"/>
        <v>463635867.94999993</v>
      </c>
      <c r="AG220" s="9">
        <f t="shared" si="203"/>
        <v>463635867.94999993</v>
      </c>
      <c r="AI220" s="175">
        <f t="shared" si="219"/>
        <v>-14.567081019899867</v>
      </c>
      <c r="AJ220" s="175">
        <f t="shared" si="204"/>
        <v>0.98945503308971883</v>
      </c>
      <c r="AK220" s="175">
        <f t="shared" si="205"/>
        <v>0.81570750549446902</v>
      </c>
      <c r="AL220" s="175">
        <f t="shared" si="206"/>
        <v>-10.737801046060557</v>
      </c>
      <c r="AM220" s="175">
        <f t="shared" si="207"/>
        <v>1</v>
      </c>
      <c r="AN220" s="175">
        <f t="shared" si="208"/>
        <v>1</v>
      </c>
      <c r="AO220" s="175">
        <f t="shared" si="209"/>
        <v>1</v>
      </c>
      <c r="AP220" s="175">
        <f t="shared" si="210"/>
        <v>1</v>
      </c>
      <c r="AQ220" s="175">
        <f t="shared" si="211"/>
        <v>1</v>
      </c>
      <c r="AR220" s="175">
        <f t="shared" si="212"/>
        <v>1</v>
      </c>
      <c r="AS220" s="175">
        <f t="shared" si="213"/>
        <v>1</v>
      </c>
      <c r="AT220" s="175">
        <f t="shared" si="214"/>
        <v>1</v>
      </c>
      <c r="AU220" s="175">
        <f t="shared" si="215"/>
        <v>0.80501669743781756</v>
      </c>
      <c r="AV220" s="175">
        <f t="shared" si="216"/>
        <v>0.81420452042859626</v>
      </c>
    </row>
    <row r="221" spans="1:48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236">+D222+D224</f>
        <v>1138336935.909091</v>
      </c>
      <c r="E221" s="9">
        <f t="shared" si="236"/>
        <v>145471594.90909091</v>
      </c>
      <c r="F221" s="9">
        <f t="shared" si="236"/>
        <v>15636935.909090908</v>
      </c>
      <c r="G221" s="9">
        <f t="shared" si="236"/>
        <v>13636935.909090908</v>
      </c>
      <c r="H221" s="9">
        <f t="shared" si="236"/>
        <v>15636935.909090908</v>
      </c>
      <c r="I221" s="9">
        <f t="shared" si="236"/>
        <v>13636935.909090908</v>
      </c>
      <c r="J221" s="9">
        <f t="shared" si="236"/>
        <v>14636935.909090908</v>
      </c>
      <c r="K221" s="9">
        <f t="shared" si="236"/>
        <v>13636935.909090908</v>
      </c>
      <c r="L221" s="9">
        <f t="shared" si="236"/>
        <v>13636935.909090908</v>
      </c>
      <c r="M221" s="9">
        <f t="shared" si="236"/>
        <v>13636935.909090908</v>
      </c>
      <c r="N221" s="9">
        <f t="shared" si="236"/>
        <v>13527845</v>
      </c>
      <c r="O221" s="9">
        <f t="shared" si="220"/>
        <v>1313082402.636364</v>
      </c>
      <c r="P221" s="9">
        <f t="shared" si="236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f t="shared" ref="W221" si="237">+W222+W224</f>
        <v>194167942.25999999</v>
      </c>
      <c r="X221" s="9"/>
      <c r="Y221" s="9"/>
      <c r="Z221" s="9"/>
      <c r="AA221" s="9"/>
      <c r="AB221" s="9"/>
      <c r="AC221" s="9"/>
      <c r="AD221" s="9"/>
      <c r="AE221" s="9"/>
      <c r="AF221" s="9">
        <f t="shared" si="202"/>
        <v>229048809.81</v>
      </c>
      <c r="AG221" s="9">
        <f t="shared" si="203"/>
        <v>229048809.81</v>
      </c>
      <c r="AI221" s="175">
        <f t="shared" si="219"/>
        <v>0.76135540845135863</v>
      </c>
      <c r="AJ221" s="175">
        <f t="shared" si="204"/>
        <v>0.98093269113448722</v>
      </c>
      <c r="AK221" s="175">
        <f t="shared" si="205"/>
        <v>0.93179792518119997</v>
      </c>
      <c r="AL221" s="175">
        <f t="shared" si="206"/>
        <v>-11.417262780179064</v>
      </c>
      <c r="AM221" s="175">
        <f t="shared" si="207"/>
        <v>1</v>
      </c>
      <c r="AN221" s="175">
        <f t="shared" si="208"/>
        <v>1</v>
      </c>
      <c r="AO221" s="175">
        <f t="shared" si="209"/>
        <v>1</v>
      </c>
      <c r="AP221" s="175">
        <f t="shared" si="210"/>
        <v>1</v>
      </c>
      <c r="AQ221" s="175">
        <f t="shared" si="211"/>
        <v>1</v>
      </c>
      <c r="AR221" s="175">
        <f t="shared" si="212"/>
        <v>1</v>
      </c>
      <c r="AS221" s="175">
        <f t="shared" si="213"/>
        <v>1</v>
      </c>
      <c r="AT221" s="175">
        <f t="shared" si="214"/>
        <v>1</v>
      </c>
      <c r="AU221" s="175">
        <f t="shared" si="215"/>
        <v>0.82556402450438504</v>
      </c>
      <c r="AV221" s="175">
        <f t="shared" si="216"/>
        <v>0.83927175307555102</v>
      </c>
    </row>
    <row r="222" spans="1:48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238">+D223</f>
        <v>13636935.909090908</v>
      </c>
      <c r="E222" s="9">
        <f t="shared" si="238"/>
        <v>13636935.909090908</v>
      </c>
      <c r="F222" s="9">
        <f t="shared" si="238"/>
        <v>13636935.909090908</v>
      </c>
      <c r="G222" s="9">
        <f t="shared" si="238"/>
        <v>13636935.909090908</v>
      </c>
      <c r="H222" s="9">
        <f t="shared" si="238"/>
        <v>13636935.909090908</v>
      </c>
      <c r="I222" s="9">
        <f t="shared" si="238"/>
        <v>13636935.909090908</v>
      </c>
      <c r="J222" s="9">
        <f t="shared" si="238"/>
        <v>13636935.909090908</v>
      </c>
      <c r="K222" s="9">
        <f t="shared" si="238"/>
        <v>13636935.909090908</v>
      </c>
      <c r="L222" s="9">
        <f t="shared" si="238"/>
        <v>13636935.909090908</v>
      </c>
      <c r="M222" s="9">
        <f t="shared" si="238"/>
        <v>13636935.909090908</v>
      </c>
      <c r="N222" s="9">
        <f t="shared" si="238"/>
        <v>13527845</v>
      </c>
      <c r="O222" s="9">
        <f t="shared" si="220"/>
        <v>54547743.636363633</v>
      </c>
      <c r="P222" s="9">
        <f t="shared" si="238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f t="shared" ref="W222" si="239">+W223</f>
        <v>15993440.26</v>
      </c>
      <c r="X222" s="9"/>
      <c r="Y222" s="9"/>
      <c r="Z222" s="9"/>
      <c r="AA222" s="9"/>
      <c r="AB222" s="9"/>
      <c r="AC222" s="9"/>
      <c r="AD222" s="9"/>
      <c r="AE222" s="9"/>
      <c r="AF222" s="9">
        <f t="shared" si="202"/>
        <v>49058818.809999995</v>
      </c>
      <c r="AG222" s="9">
        <f t="shared" si="203"/>
        <v>49058818.809999995</v>
      </c>
      <c r="AI222" s="175">
        <f t="shared" si="219"/>
        <v>0.89448568141756979</v>
      </c>
      <c r="AJ222" s="175">
        <f t="shared" si="204"/>
        <v>-0.59163481405897</v>
      </c>
      <c r="AK222" s="175">
        <f t="shared" si="205"/>
        <v>0.27245646191048178</v>
      </c>
      <c r="AL222" s="175">
        <f t="shared" si="206"/>
        <v>-0.17280306709795085</v>
      </c>
      <c r="AM222" s="175">
        <f t="shared" si="207"/>
        <v>1</v>
      </c>
      <c r="AN222" s="175">
        <f t="shared" si="208"/>
        <v>1</v>
      </c>
      <c r="AO222" s="175">
        <f t="shared" si="209"/>
        <v>1</v>
      </c>
      <c r="AP222" s="175">
        <f t="shared" si="210"/>
        <v>1</v>
      </c>
      <c r="AQ222" s="175">
        <f t="shared" si="211"/>
        <v>1</v>
      </c>
      <c r="AR222" s="175">
        <f t="shared" si="212"/>
        <v>1</v>
      </c>
      <c r="AS222" s="175">
        <f t="shared" si="213"/>
        <v>1</v>
      </c>
      <c r="AT222" s="175">
        <f t="shared" si="214"/>
        <v>1</v>
      </c>
      <c r="AU222" s="175">
        <f t="shared" si="215"/>
        <v>0.10062606554278276</v>
      </c>
      <c r="AV222" s="175">
        <f t="shared" si="216"/>
        <v>0.70000870270880444</v>
      </c>
    </row>
    <row r="223" spans="1:48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220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61">
        <v>15993440.26</v>
      </c>
      <c r="X223" s="21"/>
      <c r="Y223" s="21"/>
      <c r="Z223" s="21"/>
      <c r="AA223" s="21"/>
      <c r="AB223" s="21"/>
      <c r="AC223" s="21"/>
      <c r="AD223" s="21"/>
      <c r="AE223" s="21"/>
      <c r="AF223" s="261">
        <f t="shared" si="202"/>
        <v>49058818.809999995</v>
      </c>
      <c r="AG223" s="21">
        <f t="shared" si="203"/>
        <v>49058818.809999995</v>
      </c>
      <c r="AI223" s="176">
        <f t="shared" si="219"/>
        <v>0.89448568141756979</v>
      </c>
      <c r="AJ223" s="176">
        <f t="shared" si="204"/>
        <v>-0.59163481405897</v>
      </c>
      <c r="AK223" s="176">
        <f t="shared" si="205"/>
        <v>0.27245646191048178</v>
      </c>
      <c r="AL223" s="176">
        <f t="shared" si="206"/>
        <v>-0.17280306709795085</v>
      </c>
      <c r="AM223" s="176">
        <f t="shared" si="207"/>
        <v>1</v>
      </c>
      <c r="AN223" s="176">
        <f t="shared" si="208"/>
        <v>1</v>
      </c>
      <c r="AO223" s="176">
        <f t="shared" si="209"/>
        <v>1</v>
      </c>
      <c r="AP223" s="176">
        <f t="shared" si="210"/>
        <v>1</v>
      </c>
      <c r="AQ223" s="176">
        <f t="shared" si="211"/>
        <v>1</v>
      </c>
      <c r="AR223" s="176">
        <f t="shared" si="212"/>
        <v>1</v>
      </c>
      <c r="AS223" s="176">
        <f t="shared" si="213"/>
        <v>1</v>
      </c>
      <c r="AT223" s="176">
        <f t="shared" si="214"/>
        <v>1</v>
      </c>
      <c r="AU223" s="176">
        <f t="shared" si="215"/>
        <v>0.10062606554278276</v>
      </c>
      <c r="AV223" s="176">
        <f t="shared" si="216"/>
        <v>0.70000870270880444</v>
      </c>
    </row>
    <row r="224" spans="1:48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240">+D225+D226</f>
        <v>1124700000</v>
      </c>
      <c r="E224" s="9">
        <f t="shared" si="240"/>
        <v>131834659</v>
      </c>
      <c r="F224" s="9">
        <f t="shared" si="240"/>
        <v>2000000</v>
      </c>
      <c r="G224" s="9">
        <f t="shared" si="240"/>
        <v>0</v>
      </c>
      <c r="H224" s="9">
        <f t="shared" si="240"/>
        <v>2000000</v>
      </c>
      <c r="I224" s="9">
        <f t="shared" si="240"/>
        <v>0</v>
      </c>
      <c r="J224" s="9">
        <f t="shared" si="240"/>
        <v>1000000</v>
      </c>
      <c r="K224" s="9">
        <f t="shared" si="240"/>
        <v>0</v>
      </c>
      <c r="L224" s="9">
        <f t="shared" si="240"/>
        <v>0</v>
      </c>
      <c r="M224" s="9">
        <f t="shared" si="240"/>
        <v>0</v>
      </c>
      <c r="N224" s="9">
        <f t="shared" si="240"/>
        <v>0</v>
      </c>
      <c r="O224" s="9">
        <f t="shared" si="220"/>
        <v>1258534659</v>
      </c>
      <c r="P224" s="9">
        <f t="shared" si="240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f t="shared" ref="W224" si="241">+W225+W226</f>
        <v>178174502</v>
      </c>
      <c r="X224" s="9"/>
      <c r="Y224" s="9"/>
      <c r="Z224" s="9"/>
      <c r="AA224" s="9"/>
      <c r="AB224" s="9"/>
      <c r="AC224" s="9"/>
      <c r="AD224" s="9"/>
      <c r="AE224" s="9"/>
      <c r="AF224" s="9">
        <f t="shared" si="202"/>
        <v>179989991</v>
      </c>
      <c r="AG224" s="9">
        <f t="shared" si="203"/>
        <v>179989991</v>
      </c>
      <c r="AI224" s="175" t="e">
        <f t="shared" si="219"/>
        <v>#DIV/0!</v>
      </c>
      <c r="AJ224" s="175">
        <f t="shared" si="204"/>
        <v>1</v>
      </c>
      <c r="AK224" s="175">
        <f t="shared" si="205"/>
        <v>1</v>
      </c>
      <c r="AL224" s="175">
        <f t="shared" si="206"/>
        <v>-88.087250999999995</v>
      </c>
      <c r="AM224" s="175" t="e">
        <f t="shared" si="207"/>
        <v>#DIV/0!</v>
      </c>
      <c r="AN224" s="175">
        <f t="shared" si="208"/>
        <v>1</v>
      </c>
      <c r="AO224" s="175" t="e">
        <f t="shared" si="209"/>
        <v>#DIV/0!</v>
      </c>
      <c r="AP224" s="175">
        <f t="shared" si="210"/>
        <v>1</v>
      </c>
      <c r="AQ224" s="175" t="e">
        <f t="shared" si="211"/>
        <v>#DIV/0!</v>
      </c>
      <c r="AR224" s="175" t="e">
        <f t="shared" si="212"/>
        <v>#DIV/0!</v>
      </c>
      <c r="AS224" s="175" t="e">
        <f t="shared" si="213"/>
        <v>#DIV/0!</v>
      </c>
      <c r="AT224" s="175" t="e">
        <f t="shared" si="214"/>
        <v>#DIV/0!</v>
      </c>
      <c r="AU224" s="175">
        <f t="shared" si="215"/>
        <v>0.8569844781684316</v>
      </c>
      <c r="AV224" s="175">
        <f t="shared" si="216"/>
        <v>0.85732457708084264</v>
      </c>
    </row>
    <row r="225" spans="1:49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220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61">
        <v>54031562</v>
      </c>
      <c r="X225" s="21"/>
      <c r="Y225" s="21"/>
      <c r="Z225" s="21"/>
      <c r="AA225" s="21"/>
      <c r="AB225" s="21"/>
      <c r="AC225" s="21"/>
      <c r="AD225" s="21"/>
      <c r="AE225" s="21"/>
      <c r="AF225" s="261">
        <f t="shared" si="202"/>
        <v>54031562</v>
      </c>
      <c r="AG225" s="21">
        <f t="shared" si="203"/>
        <v>54031562</v>
      </c>
      <c r="AI225" s="176" t="e">
        <f t="shared" si="219"/>
        <v>#DIV/0!</v>
      </c>
      <c r="AJ225" s="176">
        <f t="shared" si="204"/>
        <v>1</v>
      </c>
      <c r="AK225" s="176" t="e">
        <f t="shared" si="205"/>
        <v>#DIV/0!</v>
      </c>
      <c r="AL225" s="176" t="e">
        <f t="shared" si="206"/>
        <v>#DIV/0!</v>
      </c>
      <c r="AM225" s="176" t="e">
        <f t="shared" si="207"/>
        <v>#DIV/0!</v>
      </c>
      <c r="AN225" s="176" t="e">
        <f t="shared" si="208"/>
        <v>#DIV/0!</v>
      </c>
      <c r="AO225" s="176" t="e">
        <f t="shared" si="209"/>
        <v>#DIV/0!</v>
      </c>
      <c r="AP225" s="176" t="e">
        <f t="shared" si="210"/>
        <v>#DIV/0!</v>
      </c>
      <c r="AQ225" s="176" t="e">
        <f t="shared" si="211"/>
        <v>#DIV/0!</v>
      </c>
      <c r="AR225" s="176" t="e">
        <f t="shared" si="212"/>
        <v>#DIV/0!</v>
      </c>
      <c r="AS225" s="176" t="e">
        <f t="shared" si="213"/>
        <v>#DIV/0!</v>
      </c>
      <c r="AT225" s="176" t="e">
        <f t="shared" si="214"/>
        <v>#DIV/0!</v>
      </c>
      <c r="AU225" s="176">
        <f t="shared" si="215"/>
        <v>0.79988310370370375</v>
      </c>
      <c r="AV225" s="176">
        <f t="shared" si="216"/>
        <v>0.79988310370370375</v>
      </c>
    </row>
    <row r="226" spans="1:49" x14ac:dyDescent="0.25">
      <c r="A226" s="7" t="s">
        <v>402</v>
      </c>
      <c r="B226" s="8" t="s">
        <v>748</v>
      </c>
      <c r="C226" s="9">
        <f t="shared" ref="C226:N226" si="242">SUM(C227:C229)</f>
        <v>0</v>
      </c>
      <c r="D226" s="9">
        <f t="shared" si="242"/>
        <v>854700000</v>
      </c>
      <c r="E226" s="9">
        <f t="shared" si="242"/>
        <v>131834659</v>
      </c>
      <c r="F226" s="9">
        <f t="shared" si="242"/>
        <v>2000000</v>
      </c>
      <c r="G226" s="9">
        <f t="shared" si="242"/>
        <v>0</v>
      </c>
      <c r="H226" s="9">
        <f t="shared" si="242"/>
        <v>2000000</v>
      </c>
      <c r="I226" s="9">
        <f t="shared" si="242"/>
        <v>0</v>
      </c>
      <c r="J226" s="9">
        <f t="shared" si="242"/>
        <v>1000000</v>
      </c>
      <c r="K226" s="9">
        <f t="shared" si="242"/>
        <v>0</v>
      </c>
      <c r="L226" s="9">
        <f t="shared" si="242"/>
        <v>0</v>
      </c>
      <c r="M226" s="9">
        <f t="shared" si="242"/>
        <v>0</v>
      </c>
      <c r="N226" s="9">
        <f t="shared" si="242"/>
        <v>0</v>
      </c>
      <c r="O226" s="9">
        <f t="shared" si="220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f t="shared" ref="W226" si="243">+W227+W228+W229</f>
        <v>124142940</v>
      </c>
      <c r="X226" s="9"/>
      <c r="Y226" s="9"/>
      <c r="Z226" s="9"/>
      <c r="AA226" s="9"/>
      <c r="AB226" s="9"/>
      <c r="AC226" s="9"/>
      <c r="AD226" s="9"/>
      <c r="AE226" s="9"/>
      <c r="AF226" s="9">
        <f t="shared" si="202"/>
        <v>125958429</v>
      </c>
      <c r="AG226" s="9">
        <f t="shared" si="203"/>
        <v>125958429</v>
      </c>
      <c r="AI226" s="175" t="e">
        <f t="shared" si="219"/>
        <v>#DIV/0!</v>
      </c>
      <c r="AJ226" s="175">
        <f t="shared" si="204"/>
        <v>1</v>
      </c>
      <c r="AK226" s="175">
        <f t="shared" si="205"/>
        <v>1</v>
      </c>
      <c r="AL226" s="175">
        <f t="shared" si="206"/>
        <v>-61.071469999999998</v>
      </c>
      <c r="AM226" s="175" t="e">
        <f t="shared" si="207"/>
        <v>#DIV/0!</v>
      </c>
      <c r="AN226" s="175">
        <f t="shared" si="208"/>
        <v>1</v>
      </c>
      <c r="AO226" s="175" t="e">
        <f t="shared" si="209"/>
        <v>#DIV/0!</v>
      </c>
      <c r="AP226" s="175">
        <f t="shared" si="210"/>
        <v>1</v>
      </c>
      <c r="AQ226" s="175" t="e">
        <f t="shared" si="211"/>
        <v>#DIV/0!</v>
      </c>
      <c r="AR226" s="175" t="e">
        <f t="shared" si="212"/>
        <v>#DIV/0!</v>
      </c>
      <c r="AS226" s="175" t="e">
        <f t="shared" si="213"/>
        <v>#DIV/0!</v>
      </c>
      <c r="AT226" s="175" t="e">
        <f t="shared" si="214"/>
        <v>#DIV/0!</v>
      </c>
      <c r="AU226" s="175">
        <f t="shared" si="215"/>
        <v>0.87258066487277308</v>
      </c>
      <c r="AV226" s="175">
        <f t="shared" si="216"/>
        <v>0.87296618644976687</v>
      </c>
    </row>
    <row r="227" spans="1:49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220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61">
        <v>0</v>
      </c>
      <c r="X227" s="21"/>
      <c r="Y227" s="21"/>
      <c r="Z227" s="21"/>
      <c r="AA227" s="21"/>
      <c r="AB227" s="21"/>
      <c r="AC227" s="21"/>
      <c r="AD227" s="21"/>
      <c r="AE227" s="21"/>
      <c r="AF227" s="261">
        <f t="shared" si="202"/>
        <v>1815489</v>
      </c>
      <c r="AG227" s="21">
        <f t="shared" si="203"/>
        <v>1815489</v>
      </c>
      <c r="AI227" s="176" t="e">
        <f t="shared" si="219"/>
        <v>#DIV/0!</v>
      </c>
      <c r="AJ227" s="176">
        <f t="shared" si="204"/>
        <v>1</v>
      </c>
      <c r="AK227" s="176" t="e">
        <f t="shared" si="205"/>
        <v>#DIV/0!</v>
      </c>
      <c r="AL227" s="176" t="e">
        <f t="shared" si="206"/>
        <v>#DIV/0!</v>
      </c>
      <c r="AM227" s="176" t="e">
        <f t="shared" si="207"/>
        <v>#DIV/0!</v>
      </c>
      <c r="AN227" s="176" t="e">
        <f t="shared" si="208"/>
        <v>#DIV/0!</v>
      </c>
      <c r="AO227" s="176" t="e">
        <f t="shared" si="209"/>
        <v>#DIV/0!</v>
      </c>
      <c r="AP227" s="176" t="e">
        <f t="shared" si="210"/>
        <v>#DIV/0!</v>
      </c>
      <c r="AQ227" s="176" t="e">
        <f t="shared" si="211"/>
        <v>#DIV/0!</v>
      </c>
      <c r="AR227" s="176" t="e">
        <f t="shared" si="212"/>
        <v>#DIV/0!</v>
      </c>
      <c r="AS227" s="176" t="e">
        <f t="shared" si="213"/>
        <v>#DIV/0!</v>
      </c>
      <c r="AT227" s="176" t="e">
        <f t="shared" si="214"/>
        <v>#DIV/0!</v>
      </c>
      <c r="AU227" s="176">
        <f t="shared" si="215"/>
        <v>0.61372574468085106</v>
      </c>
      <c r="AV227" s="176">
        <f t="shared" si="216"/>
        <v>0.61372574468085106</v>
      </c>
    </row>
    <row r="228" spans="1:49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220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61">
        <v>0</v>
      </c>
      <c r="X228" s="21"/>
      <c r="Y228" s="21"/>
      <c r="Z228" s="21"/>
      <c r="AA228" s="21"/>
      <c r="AB228" s="21"/>
      <c r="AC228" s="21"/>
      <c r="AD228" s="21"/>
      <c r="AE228" s="21"/>
      <c r="AF228" s="261">
        <f t="shared" si="202"/>
        <v>0</v>
      </c>
      <c r="AG228" s="21">
        <f t="shared" si="203"/>
        <v>0</v>
      </c>
      <c r="AI228" s="176" t="e">
        <f t="shared" si="219"/>
        <v>#DIV/0!</v>
      </c>
      <c r="AJ228" s="176" t="e">
        <f t="shared" si="204"/>
        <v>#DIV/0!</v>
      </c>
      <c r="AK228" s="176" t="e">
        <f t="shared" si="205"/>
        <v>#DIV/0!</v>
      </c>
      <c r="AL228" s="176">
        <f t="shared" si="206"/>
        <v>1</v>
      </c>
      <c r="AM228" s="176" t="e">
        <f t="shared" si="207"/>
        <v>#DIV/0!</v>
      </c>
      <c r="AN228" s="176">
        <f t="shared" si="208"/>
        <v>1</v>
      </c>
      <c r="AO228" s="176" t="e">
        <f t="shared" si="209"/>
        <v>#DIV/0!</v>
      </c>
      <c r="AP228" s="176">
        <f t="shared" si="210"/>
        <v>1</v>
      </c>
      <c r="AQ228" s="176" t="e">
        <f t="shared" si="211"/>
        <v>#DIV/0!</v>
      </c>
      <c r="AR228" s="176" t="e">
        <f t="shared" si="212"/>
        <v>#DIV/0!</v>
      </c>
      <c r="AS228" s="176" t="e">
        <f t="shared" si="213"/>
        <v>#DIV/0!</v>
      </c>
      <c r="AT228" s="176" t="e">
        <f t="shared" si="214"/>
        <v>#DIV/0!</v>
      </c>
      <c r="AU228" s="176">
        <f t="shared" si="215"/>
        <v>1</v>
      </c>
      <c r="AV228" s="176">
        <f t="shared" si="216"/>
        <v>1</v>
      </c>
    </row>
    <row r="229" spans="1:49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220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61">
        <v>124142940</v>
      </c>
      <c r="X229" s="21"/>
      <c r="Y229" s="21"/>
      <c r="Z229" s="21"/>
      <c r="AA229" s="21"/>
      <c r="AB229" s="21"/>
      <c r="AC229" s="21"/>
      <c r="AD229" s="21"/>
      <c r="AE229" s="21"/>
      <c r="AF229" s="261">
        <f t="shared" si="202"/>
        <v>124142940</v>
      </c>
      <c r="AG229" s="21">
        <f t="shared" si="203"/>
        <v>124142940</v>
      </c>
      <c r="AI229" s="176" t="e">
        <f t="shared" si="219"/>
        <v>#DIV/0!</v>
      </c>
      <c r="AJ229" s="176">
        <f t="shared" si="204"/>
        <v>1</v>
      </c>
      <c r="AK229" s="176">
        <f t="shared" si="205"/>
        <v>1</v>
      </c>
      <c r="AL229" s="176" t="e">
        <f t="shared" si="206"/>
        <v>#DIV/0!</v>
      </c>
      <c r="AM229" s="176" t="e">
        <f t="shared" si="207"/>
        <v>#DIV/0!</v>
      </c>
      <c r="AN229" s="176" t="e">
        <f t="shared" si="208"/>
        <v>#DIV/0!</v>
      </c>
      <c r="AO229" s="176" t="e">
        <f t="shared" si="209"/>
        <v>#DIV/0!</v>
      </c>
      <c r="AP229" s="176" t="e">
        <f t="shared" si="210"/>
        <v>#DIV/0!</v>
      </c>
      <c r="AQ229" s="176" t="e">
        <f t="shared" si="211"/>
        <v>#DIV/0!</v>
      </c>
      <c r="AR229" s="176" t="e">
        <f t="shared" si="212"/>
        <v>#DIV/0!</v>
      </c>
      <c r="AS229" s="176" t="e">
        <f t="shared" si="213"/>
        <v>#DIV/0!</v>
      </c>
      <c r="AT229" s="176" t="e">
        <f t="shared" si="214"/>
        <v>#DIV/0!</v>
      </c>
      <c r="AU229" s="176">
        <f t="shared" si="215"/>
        <v>0.87356023861854726</v>
      </c>
      <c r="AV229" s="176">
        <f t="shared" si="216"/>
        <v>0.87356023861854726</v>
      </c>
    </row>
    <row r="230" spans="1:49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244">+D231</f>
        <v>1062241041</v>
      </c>
      <c r="E230" s="9">
        <f t="shared" si="244"/>
        <v>1000000</v>
      </c>
      <c r="F230" s="9">
        <f t="shared" si="244"/>
        <v>1500000</v>
      </c>
      <c r="G230" s="9">
        <f t="shared" si="244"/>
        <v>2000000</v>
      </c>
      <c r="H230" s="9">
        <f t="shared" si="244"/>
        <v>0</v>
      </c>
      <c r="I230" s="9">
        <f t="shared" si="244"/>
        <v>0</v>
      </c>
      <c r="J230" s="9">
        <f t="shared" si="244"/>
        <v>100000</v>
      </c>
      <c r="K230" s="9">
        <f t="shared" si="244"/>
        <v>1500000</v>
      </c>
      <c r="L230" s="9">
        <f t="shared" si="244"/>
        <v>2000000</v>
      </c>
      <c r="M230" s="9">
        <f t="shared" si="244"/>
        <v>0</v>
      </c>
      <c r="N230" s="9">
        <f t="shared" si="244"/>
        <v>0</v>
      </c>
      <c r="O230" s="9">
        <f t="shared" si="220"/>
        <v>1064741041</v>
      </c>
      <c r="P230" s="9">
        <f t="shared" si="244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f t="shared" ref="W230" si="245">+W231+W233</f>
        <v>6982001.9800000004</v>
      </c>
      <c r="X230" s="9"/>
      <c r="Y230" s="9"/>
      <c r="Z230" s="9"/>
      <c r="AA230" s="9"/>
      <c r="AB230" s="9"/>
      <c r="AC230" s="9"/>
      <c r="AD230" s="9"/>
      <c r="AE230" s="9"/>
      <c r="AF230" s="9">
        <f t="shared" si="202"/>
        <v>159882001.97999999</v>
      </c>
      <c r="AG230" s="9">
        <f t="shared" si="203"/>
        <v>159882001.97999999</v>
      </c>
      <c r="AI230" s="175" t="e">
        <f t="shared" si="219"/>
        <v>#DIV/0!</v>
      </c>
      <c r="AJ230" s="175">
        <f t="shared" si="204"/>
        <v>0.99858789112630419</v>
      </c>
      <c r="AK230" s="175">
        <f t="shared" si="205"/>
        <v>-5.4</v>
      </c>
      <c r="AL230" s="175">
        <f t="shared" si="206"/>
        <v>-3.6546679866666669</v>
      </c>
      <c r="AM230" s="175">
        <f t="shared" si="207"/>
        <v>1</v>
      </c>
      <c r="AN230" s="175" t="e">
        <f t="shared" si="208"/>
        <v>#DIV/0!</v>
      </c>
      <c r="AO230" s="175" t="e">
        <f t="shared" si="209"/>
        <v>#DIV/0!</v>
      </c>
      <c r="AP230" s="175">
        <f t="shared" si="210"/>
        <v>1</v>
      </c>
      <c r="AQ230" s="175">
        <f t="shared" si="211"/>
        <v>1</v>
      </c>
      <c r="AR230" s="175">
        <f t="shared" si="212"/>
        <v>1</v>
      </c>
      <c r="AS230" s="175" t="e">
        <f t="shared" si="213"/>
        <v>#DIV/0!</v>
      </c>
      <c r="AT230" s="175" t="e">
        <f t="shared" si="214"/>
        <v>#DIV/0!</v>
      </c>
      <c r="AU230" s="175">
        <f t="shared" si="215"/>
        <v>0.84983954236436721</v>
      </c>
      <c r="AV230" s="175">
        <f t="shared" si="216"/>
        <v>0.85062517846589791</v>
      </c>
    </row>
    <row r="231" spans="1:49" x14ac:dyDescent="0.25">
      <c r="A231" s="7" t="s">
        <v>412</v>
      </c>
      <c r="B231" s="8" t="s">
        <v>413</v>
      </c>
      <c r="C231" s="9">
        <f>+C232</f>
        <v>0</v>
      </c>
      <c r="D231" s="9">
        <f t="shared" si="244"/>
        <v>1062241041</v>
      </c>
      <c r="E231" s="9">
        <f t="shared" si="244"/>
        <v>1000000</v>
      </c>
      <c r="F231" s="9">
        <f t="shared" si="244"/>
        <v>1500000</v>
      </c>
      <c r="G231" s="9">
        <f t="shared" si="244"/>
        <v>2000000</v>
      </c>
      <c r="H231" s="9">
        <f t="shared" si="244"/>
        <v>0</v>
      </c>
      <c r="I231" s="9">
        <f t="shared" si="244"/>
        <v>0</v>
      </c>
      <c r="J231" s="9">
        <f t="shared" si="244"/>
        <v>100000</v>
      </c>
      <c r="K231" s="9">
        <f t="shared" si="244"/>
        <v>1500000</v>
      </c>
      <c r="L231" s="9">
        <f t="shared" si="244"/>
        <v>2000000</v>
      </c>
      <c r="M231" s="9">
        <f t="shared" si="244"/>
        <v>0</v>
      </c>
      <c r="N231" s="9">
        <f t="shared" si="244"/>
        <v>0</v>
      </c>
      <c r="O231" s="9">
        <f t="shared" si="220"/>
        <v>1064741041</v>
      </c>
      <c r="P231" s="9">
        <f t="shared" si="244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f t="shared" ref="W231" si="246">+W232</f>
        <v>6982001.9800000004</v>
      </c>
      <c r="X231" s="9"/>
      <c r="Y231" s="9"/>
      <c r="Z231" s="9"/>
      <c r="AA231" s="9"/>
      <c r="AB231" s="9"/>
      <c r="AC231" s="9"/>
      <c r="AD231" s="9"/>
      <c r="AE231" s="9"/>
      <c r="AF231" s="9">
        <f t="shared" si="202"/>
        <v>158382001.97999999</v>
      </c>
      <c r="AG231" s="9">
        <f t="shared" si="203"/>
        <v>158382001.97999999</v>
      </c>
      <c r="AI231" s="175" t="e">
        <f t="shared" si="219"/>
        <v>#DIV/0!</v>
      </c>
      <c r="AJ231" s="175">
        <f t="shared" si="204"/>
        <v>1</v>
      </c>
      <c r="AK231" s="175">
        <f t="shared" si="205"/>
        <v>-5.4</v>
      </c>
      <c r="AL231" s="175">
        <f t="shared" si="206"/>
        <v>-3.6546679866666669</v>
      </c>
      <c r="AM231" s="175">
        <f t="shared" si="207"/>
        <v>1</v>
      </c>
      <c r="AN231" s="175" t="e">
        <f t="shared" si="208"/>
        <v>#DIV/0!</v>
      </c>
      <c r="AO231" s="175" t="e">
        <f t="shared" si="209"/>
        <v>#DIV/0!</v>
      </c>
      <c r="AP231" s="175">
        <f t="shared" si="210"/>
        <v>1</v>
      </c>
      <c r="AQ231" s="175">
        <f t="shared" si="211"/>
        <v>1</v>
      </c>
      <c r="AR231" s="175">
        <f t="shared" si="212"/>
        <v>1</v>
      </c>
      <c r="AS231" s="175" t="e">
        <f t="shared" si="213"/>
        <v>#DIV/0!</v>
      </c>
      <c r="AT231" s="175" t="e">
        <f t="shared" si="214"/>
        <v>#DIV/0!</v>
      </c>
      <c r="AU231" s="175">
        <f t="shared" si="215"/>
        <v>0.85124833562229518</v>
      </c>
      <c r="AV231" s="175">
        <f t="shared" si="216"/>
        <v>0.85202660094951921</v>
      </c>
    </row>
    <row r="232" spans="1:49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220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61">
        <v>6982001.9800000004</v>
      </c>
      <c r="X232" s="21"/>
      <c r="Y232" s="21"/>
      <c r="Z232" s="21"/>
      <c r="AA232" s="21"/>
      <c r="AB232" s="21"/>
      <c r="AC232" s="21"/>
      <c r="AD232" s="21"/>
      <c r="AE232" s="21"/>
      <c r="AF232" s="261">
        <f t="shared" si="202"/>
        <v>158382001.97999999</v>
      </c>
      <c r="AG232" s="21">
        <f t="shared" si="203"/>
        <v>158382001.97999999</v>
      </c>
      <c r="AI232" s="176" t="e">
        <f t="shared" si="219"/>
        <v>#DIV/0!</v>
      </c>
      <c r="AJ232" s="176">
        <f t="shared" si="204"/>
        <v>1</v>
      </c>
      <c r="AK232" s="176">
        <f t="shared" si="205"/>
        <v>-5.4</v>
      </c>
      <c r="AL232" s="176">
        <f t="shared" si="206"/>
        <v>-3.6546679866666669</v>
      </c>
      <c r="AM232" s="176">
        <f t="shared" si="207"/>
        <v>1</v>
      </c>
      <c r="AN232" s="176" t="e">
        <f t="shared" si="208"/>
        <v>#DIV/0!</v>
      </c>
      <c r="AO232" s="176" t="e">
        <f t="shared" si="209"/>
        <v>#DIV/0!</v>
      </c>
      <c r="AP232" s="176">
        <f t="shared" si="210"/>
        <v>1</v>
      </c>
      <c r="AQ232" s="176">
        <f t="shared" si="211"/>
        <v>1</v>
      </c>
      <c r="AR232" s="176">
        <f t="shared" si="212"/>
        <v>1</v>
      </c>
      <c r="AS232" s="176" t="e">
        <f t="shared" si="213"/>
        <v>#DIV/0!</v>
      </c>
      <c r="AT232" s="176" t="e">
        <f t="shared" si="214"/>
        <v>#DIV/0!</v>
      </c>
      <c r="AU232" s="176">
        <f t="shared" si="215"/>
        <v>0.85124833562229518</v>
      </c>
      <c r="AV232" s="176">
        <f t="shared" si="216"/>
        <v>0.85202660094951921</v>
      </c>
    </row>
    <row r="233" spans="1:49" x14ac:dyDescent="0.25">
      <c r="A233" s="7" t="s">
        <v>1132</v>
      </c>
      <c r="B233" s="8" t="s">
        <v>1133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>
        <f t="shared" si="220"/>
        <v>0</v>
      </c>
      <c r="P233" s="184"/>
      <c r="R233" s="2"/>
      <c r="S233" s="182"/>
      <c r="T233" s="184"/>
      <c r="U233" s="184">
        <v>1500000</v>
      </c>
      <c r="V233" s="184">
        <v>0</v>
      </c>
      <c r="W233" s="9">
        <f t="shared" ref="W233" si="247">+W234</f>
        <v>0</v>
      </c>
      <c r="X233" s="184"/>
      <c r="Y233" s="184"/>
      <c r="Z233" s="184"/>
      <c r="AA233" s="184"/>
      <c r="AB233" s="184"/>
      <c r="AC233" s="184"/>
      <c r="AD233" s="184"/>
      <c r="AE233" s="184"/>
      <c r="AF233" s="9">
        <f t="shared" si="202"/>
        <v>1500000</v>
      </c>
      <c r="AG233" s="184">
        <f t="shared" si="203"/>
        <v>1500000</v>
      </c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81"/>
    </row>
    <row r="234" spans="1:49" x14ac:dyDescent="0.25">
      <c r="A234" s="183" t="s">
        <v>1134</v>
      </c>
      <c r="B234" s="182" t="s">
        <v>1135</v>
      </c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>
        <f t="shared" si="220"/>
        <v>0</v>
      </c>
      <c r="P234" s="184"/>
      <c r="R234" s="2"/>
      <c r="S234" s="182"/>
      <c r="T234" s="184"/>
      <c r="U234" s="184">
        <v>1500000</v>
      </c>
      <c r="V234" s="184">
        <v>0</v>
      </c>
      <c r="W234" s="261">
        <v>0</v>
      </c>
      <c r="X234" s="184"/>
      <c r="Y234" s="184"/>
      <c r="Z234" s="184"/>
      <c r="AA234" s="184"/>
      <c r="AB234" s="184"/>
      <c r="AC234" s="184"/>
      <c r="AD234" s="184"/>
      <c r="AE234" s="184"/>
      <c r="AF234" s="261">
        <f t="shared" si="202"/>
        <v>1500000</v>
      </c>
      <c r="AG234" s="184">
        <f t="shared" si="203"/>
        <v>1500000</v>
      </c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81"/>
    </row>
    <row r="235" spans="1:49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220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f t="shared" ref="W235" si="248">+W236</f>
        <v>0</v>
      </c>
      <c r="X235" s="9"/>
      <c r="Y235" s="9"/>
      <c r="Z235" s="9"/>
      <c r="AA235" s="9"/>
      <c r="AB235" s="9"/>
      <c r="AC235" s="9"/>
      <c r="AD235" s="9"/>
      <c r="AE235" s="9"/>
      <c r="AF235" s="9">
        <f t="shared" si="202"/>
        <v>74705056.159999996</v>
      </c>
      <c r="AG235" s="9">
        <f t="shared" si="203"/>
        <v>74705056.159999996</v>
      </c>
      <c r="AI235" s="175" t="e">
        <f t="shared" si="219"/>
        <v>#DIV/0!</v>
      </c>
      <c r="AJ235" s="175" t="e">
        <f t="shared" si="204"/>
        <v>#DIV/0!</v>
      </c>
      <c r="AK235" s="175" t="e">
        <f t="shared" si="205"/>
        <v>#DIV/0!</v>
      </c>
      <c r="AL235" s="175" t="e">
        <f t="shared" si="206"/>
        <v>#DIV/0!</v>
      </c>
      <c r="AM235" s="175" t="e">
        <f t="shared" si="207"/>
        <v>#DIV/0!</v>
      </c>
      <c r="AN235" s="175" t="e">
        <f t="shared" si="208"/>
        <v>#DIV/0!</v>
      </c>
      <c r="AO235" s="175" t="e">
        <f t="shared" si="209"/>
        <v>#DIV/0!</v>
      </c>
      <c r="AP235" s="175" t="e">
        <f t="shared" si="210"/>
        <v>#DIV/0!</v>
      </c>
      <c r="AQ235" s="175" t="e">
        <f t="shared" si="211"/>
        <v>#DIV/0!</v>
      </c>
      <c r="AR235" s="175" t="e">
        <f t="shared" si="212"/>
        <v>#DIV/0!</v>
      </c>
      <c r="AS235" s="175" t="e">
        <f t="shared" si="213"/>
        <v>#DIV/0!</v>
      </c>
      <c r="AT235" s="175" t="e">
        <f t="shared" si="214"/>
        <v>#DIV/0!</v>
      </c>
      <c r="AU235" s="175" t="e">
        <f t="shared" si="215"/>
        <v>#DIV/0!</v>
      </c>
      <c r="AV235" s="175" t="e">
        <f t="shared" si="216"/>
        <v>#DIV/0!</v>
      </c>
    </row>
    <row r="236" spans="1:49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220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61">
        <v>0</v>
      </c>
      <c r="X236" s="21"/>
      <c r="Y236" s="21"/>
      <c r="Z236" s="21"/>
      <c r="AA236" s="21"/>
      <c r="AB236" s="21"/>
      <c r="AC236" s="21"/>
      <c r="AD236" s="21"/>
      <c r="AE236" s="21"/>
      <c r="AF236" s="261">
        <f t="shared" si="202"/>
        <v>74705056.159999996</v>
      </c>
      <c r="AG236" s="21">
        <f t="shared" si="203"/>
        <v>74705056.159999996</v>
      </c>
      <c r="AI236" s="176" t="e">
        <f t="shared" si="219"/>
        <v>#DIV/0!</v>
      </c>
      <c r="AJ236" s="176" t="e">
        <f t="shared" si="204"/>
        <v>#DIV/0!</v>
      </c>
      <c r="AK236" s="176" t="e">
        <f t="shared" si="205"/>
        <v>#DIV/0!</v>
      </c>
      <c r="AL236" s="176" t="e">
        <f t="shared" si="206"/>
        <v>#DIV/0!</v>
      </c>
      <c r="AM236" s="176" t="e">
        <f t="shared" si="207"/>
        <v>#DIV/0!</v>
      </c>
      <c r="AN236" s="176" t="e">
        <f t="shared" si="208"/>
        <v>#DIV/0!</v>
      </c>
      <c r="AO236" s="176" t="e">
        <f t="shared" si="209"/>
        <v>#DIV/0!</v>
      </c>
      <c r="AP236" s="176" t="e">
        <f t="shared" si="210"/>
        <v>#DIV/0!</v>
      </c>
      <c r="AQ236" s="176" t="e">
        <f t="shared" si="211"/>
        <v>#DIV/0!</v>
      </c>
      <c r="AR236" s="176" t="e">
        <f t="shared" si="212"/>
        <v>#DIV/0!</v>
      </c>
      <c r="AS236" s="176" t="e">
        <f t="shared" si="213"/>
        <v>#DIV/0!</v>
      </c>
      <c r="AT236" s="176" t="e">
        <f t="shared" si="214"/>
        <v>#DIV/0!</v>
      </c>
      <c r="AU236" s="176" t="e">
        <f t="shared" si="215"/>
        <v>#DIV/0!</v>
      </c>
      <c r="AV236" s="176" t="e">
        <f t="shared" si="216"/>
        <v>#DIV/0!</v>
      </c>
    </row>
    <row r="237" spans="1:49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249">+D238+D240+D246+D249+D251+D254+D265</f>
        <v>403695940.57903558</v>
      </c>
      <c r="E237" s="9">
        <f t="shared" si="249"/>
        <v>437433045.38400227</v>
      </c>
      <c r="F237" s="9">
        <f t="shared" si="249"/>
        <v>374383045.38400227</v>
      </c>
      <c r="G237" s="9">
        <f t="shared" si="249"/>
        <v>331783045.38400227</v>
      </c>
      <c r="H237" s="9">
        <f t="shared" si="249"/>
        <v>335905520.20303029</v>
      </c>
      <c r="I237" s="9">
        <f t="shared" si="249"/>
        <v>308405520.20303029</v>
      </c>
      <c r="J237" s="9">
        <f t="shared" si="249"/>
        <v>367255520.20303035</v>
      </c>
      <c r="K237" s="9">
        <f t="shared" si="249"/>
        <v>316005520.20303029</v>
      </c>
      <c r="L237" s="9">
        <f t="shared" si="249"/>
        <v>312939030.20303029</v>
      </c>
      <c r="M237" s="9">
        <f t="shared" si="249"/>
        <v>308699383.30303025</v>
      </c>
      <c r="N237" s="9">
        <f t="shared" si="249"/>
        <v>196652291.66666666</v>
      </c>
      <c r="O237" s="9">
        <f t="shared" si="220"/>
        <v>1938887213.8293424</v>
      </c>
      <c r="P237" s="9">
        <f t="shared" si="249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f t="shared" ref="W237" si="250">+W238+W240+W246+W249+W251+W254+W265</f>
        <v>453794886.75999999</v>
      </c>
      <c r="X237" s="9"/>
      <c r="Y237" s="9"/>
      <c r="Z237" s="9"/>
      <c r="AA237" s="9"/>
      <c r="AB237" s="9"/>
      <c r="AC237" s="9"/>
      <c r="AD237" s="9"/>
      <c r="AE237" s="9"/>
      <c r="AF237" s="9">
        <f t="shared" si="202"/>
        <v>2852094332.0500002</v>
      </c>
      <c r="AG237" s="9">
        <f t="shared" si="203"/>
        <v>2852094332.0500002</v>
      </c>
      <c r="AI237" s="175">
        <f t="shared" si="219"/>
        <v>-1.60990724975029</v>
      </c>
      <c r="AJ237" s="175">
        <f t="shared" si="204"/>
        <v>0.64163243308195661</v>
      </c>
      <c r="AK237" s="175">
        <f t="shared" si="205"/>
        <v>0.16401885020144888</v>
      </c>
      <c r="AL237" s="175">
        <f t="shared" si="206"/>
        <v>-0.21211388270680237</v>
      </c>
      <c r="AM237" s="175">
        <f t="shared" si="207"/>
        <v>1</v>
      </c>
      <c r="AN237" s="175">
        <f t="shared" si="208"/>
        <v>1</v>
      </c>
      <c r="AO237" s="175">
        <f t="shared" si="209"/>
        <v>1</v>
      </c>
      <c r="AP237" s="175">
        <f t="shared" si="210"/>
        <v>1</v>
      </c>
      <c r="AQ237" s="175">
        <f t="shared" si="211"/>
        <v>1</v>
      </c>
      <c r="AR237" s="175">
        <f t="shared" si="212"/>
        <v>1</v>
      </c>
      <c r="AS237" s="175">
        <f t="shared" si="213"/>
        <v>1</v>
      </c>
      <c r="AT237" s="175">
        <f t="shared" si="214"/>
        <v>1</v>
      </c>
      <c r="AU237" s="175">
        <f t="shared" si="215"/>
        <v>-0.47099548220603038</v>
      </c>
      <c r="AV237" s="175">
        <f t="shared" si="216"/>
        <v>0.35422325546711475</v>
      </c>
    </row>
    <row r="238" spans="1:49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251">+D239</f>
        <v>62500000</v>
      </c>
      <c r="E238" s="9">
        <f t="shared" si="251"/>
        <v>62500000</v>
      </c>
      <c r="F238" s="9">
        <f t="shared" si="251"/>
        <v>62500000</v>
      </c>
      <c r="G238" s="9">
        <f t="shared" si="251"/>
        <v>62500000</v>
      </c>
      <c r="H238" s="9">
        <f t="shared" si="251"/>
        <v>62500000</v>
      </c>
      <c r="I238" s="9">
        <f t="shared" si="251"/>
        <v>62500000</v>
      </c>
      <c r="J238" s="9">
        <f t="shared" si="251"/>
        <v>62500000</v>
      </c>
      <c r="K238" s="9">
        <f t="shared" si="251"/>
        <v>62500000</v>
      </c>
      <c r="L238" s="9">
        <f t="shared" si="251"/>
        <v>62500000</v>
      </c>
      <c r="M238" s="9">
        <f t="shared" si="251"/>
        <v>62500000</v>
      </c>
      <c r="N238" s="9">
        <f t="shared" si="251"/>
        <v>62500000</v>
      </c>
      <c r="O238" s="9">
        <f t="shared" si="220"/>
        <v>250000000</v>
      </c>
      <c r="P238" s="9">
        <f t="shared" si="251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f t="shared" ref="W238" si="252">+W239</f>
        <v>14226472</v>
      </c>
      <c r="X238" s="9"/>
      <c r="Y238" s="9"/>
      <c r="Z238" s="9"/>
      <c r="AA238" s="9"/>
      <c r="AB238" s="9"/>
      <c r="AC238" s="9"/>
      <c r="AD238" s="9"/>
      <c r="AE238" s="9"/>
      <c r="AF238" s="9">
        <f t="shared" si="202"/>
        <v>434461550.05000001</v>
      </c>
      <c r="AG238" s="9">
        <f t="shared" si="203"/>
        <v>434461550.05000001</v>
      </c>
      <c r="AI238" s="175">
        <f t="shared" si="219"/>
        <v>-5.2216021448000003</v>
      </c>
      <c r="AJ238" s="175">
        <f t="shared" si="204"/>
        <v>0.95040000000000002</v>
      </c>
      <c r="AK238" s="175">
        <f t="shared" si="205"/>
        <v>0.54744089600000001</v>
      </c>
      <c r="AL238" s="175">
        <f t="shared" si="206"/>
        <v>0.77237644800000005</v>
      </c>
      <c r="AM238" s="175">
        <f t="shared" si="207"/>
        <v>1</v>
      </c>
      <c r="AN238" s="175">
        <f t="shared" si="208"/>
        <v>1</v>
      </c>
      <c r="AO238" s="175">
        <f t="shared" si="209"/>
        <v>1</v>
      </c>
      <c r="AP238" s="175">
        <f t="shared" si="210"/>
        <v>1</v>
      </c>
      <c r="AQ238" s="175">
        <f t="shared" si="211"/>
        <v>1</v>
      </c>
      <c r="AR238" s="175">
        <f t="shared" si="212"/>
        <v>1</v>
      </c>
      <c r="AS238" s="175">
        <f t="shared" si="213"/>
        <v>1</v>
      </c>
      <c r="AT238" s="175">
        <f t="shared" si="214"/>
        <v>1</v>
      </c>
      <c r="AU238" s="175">
        <f t="shared" si="215"/>
        <v>-0.73784620020000002</v>
      </c>
      <c r="AV238" s="175">
        <f t="shared" si="216"/>
        <v>0.42071793326666668</v>
      </c>
    </row>
    <row r="239" spans="1:49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220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61">
        <v>14226472</v>
      </c>
      <c r="X239" s="21"/>
      <c r="Y239" s="21"/>
      <c r="Z239" s="21"/>
      <c r="AA239" s="21"/>
      <c r="AB239" s="21"/>
      <c r="AC239" s="21"/>
      <c r="AD239" s="21"/>
      <c r="AE239" s="21"/>
      <c r="AF239" s="261">
        <f t="shared" si="202"/>
        <v>434461550.05000001</v>
      </c>
      <c r="AG239" s="21">
        <f t="shared" si="203"/>
        <v>434461550.05000001</v>
      </c>
      <c r="AI239" s="176">
        <f t="shared" si="219"/>
        <v>-5.2216021448000003</v>
      </c>
      <c r="AJ239" s="176">
        <f t="shared" si="204"/>
        <v>0.95040000000000002</v>
      </c>
      <c r="AK239" s="176">
        <f t="shared" si="205"/>
        <v>0.54744089600000001</v>
      </c>
      <c r="AL239" s="176">
        <f t="shared" si="206"/>
        <v>0.77237644800000005</v>
      </c>
      <c r="AM239" s="176">
        <f t="shared" si="207"/>
        <v>1</v>
      </c>
      <c r="AN239" s="176">
        <f t="shared" si="208"/>
        <v>1</v>
      </c>
      <c r="AO239" s="176">
        <f t="shared" si="209"/>
        <v>1</v>
      </c>
      <c r="AP239" s="176">
        <f t="shared" si="210"/>
        <v>1</v>
      </c>
      <c r="AQ239" s="176">
        <f t="shared" si="211"/>
        <v>1</v>
      </c>
      <c r="AR239" s="176">
        <f t="shared" si="212"/>
        <v>1</v>
      </c>
      <c r="AS239" s="176">
        <f t="shared" si="213"/>
        <v>1</v>
      </c>
      <c r="AT239" s="176">
        <f t="shared" si="214"/>
        <v>1</v>
      </c>
      <c r="AU239" s="176">
        <f t="shared" si="215"/>
        <v>-0.73784620020000002</v>
      </c>
      <c r="AV239" s="176">
        <f t="shared" si="216"/>
        <v>0.42071793326666668</v>
      </c>
    </row>
    <row r="240" spans="1:49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253">+D241+D243+D244+D245</f>
        <v>184688941.83139694</v>
      </c>
      <c r="E240" s="9">
        <f t="shared" si="253"/>
        <v>223919696.96969694</v>
      </c>
      <c r="F240" s="9">
        <f t="shared" si="253"/>
        <v>173419696.96969694</v>
      </c>
      <c r="G240" s="9">
        <f t="shared" si="253"/>
        <v>130369696.96969695</v>
      </c>
      <c r="H240" s="9">
        <f t="shared" si="253"/>
        <v>122369696.96969695</v>
      </c>
      <c r="I240" s="9">
        <f t="shared" si="253"/>
        <v>111369696.96969695</v>
      </c>
      <c r="J240" s="9">
        <f t="shared" si="253"/>
        <v>143619696.96969697</v>
      </c>
      <c r="K240" s="9">
        <f t="shared" si="253"/>
        <v>120919696.96969695</v>
      </c>
      <c r="L240" s="9">
        <f t="shared" si="253"/>
        <v>113369696.96969695</v>
      </c>
      <c r="M240" s="9">
        <f t="shared" si="253"/>
        <v>111369696.96969695</v>
      </c>
      <c r="N240" s="9">
        <f t="shared" si="253"/>
        <v>12333333.333333334</v>
      </c>
      <c r="O240" s="9">
        <f t="shared" si="220"/>
        <v>1113000897.8387878</v>
      </c>
      <c r="P240" s="9">
        <f t="shared" si="253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f t="shared" ref="W240" si="254">+W241+W243+W244+W245</f>
        <v>302571396</v>
      </c>
      <c r="X240" s="9"/>
      <c r="Y240" s="9"/>
      <c r="Z240" s="9"/>
      <c r="AA240" s="9"/>
      <c r="AB240" s="9"/>
      <c r="AC240" s="9"/>
      <c r="AD240" s="9"/>
      <c r="AE240" s="9"/>
      <c r="AF240" s="9">
        <f t="shared" si="202"/>
        <v>1816693476</v>
      </c>
      <c r="AG240" s="9">
        <f t="shared" si="203"/>
        <v>1816693476</v>
      </c>
      <c r="AI240" s="175">
        <f t="shared" si="219"/>
        <v>-1.2685970350493221</v>
      </c>
      <c r="AJ240" s="175">
        <f t="shared" si="204"/>
        <v>0.6220694140761267</v>
      </c>
      <c r="AK240" s="175">
        <f t="shared" si="205"/>
        <v>-7.0739659103980876E-2</v>
      </c>
      <c r="AL240" s="175">
        <f t="shared" si="206"/>
        <v>-0.7447348904828891</v>
      </c>
      <c r="AM240" s="175">
        <f t="shared" si="207"/>
        <v>1</v>
      </c>
      <c r="AN240" s="175">
        <f t="shared" si="208"/>
        <v>1</v>
      </c>
      <c r="AO240" s="175">
        <f t="shared" si="209"/>
        <v>1</v>
      </c>
      <c r="AP240" s="175">
        <f t="shared" si="210"/>
        <v>1</v>
      </c>
      <c r="AQ240" s="175">
        <f t="shared" si="211"/>
        <v>1</v>
      </c>
      <c r="AR240" s="175">
        <f t="shared" si="212"/>
        <v>1</v>
      </c>
      <c r="AS240" s="175">
        <f t="shared" si="213"/>
        <v>1</v>
      </c>
      <c r="AT240" s="175">
        <f t="shared" si="214"/>
        <v>1</v>
      </c>
      <c r="AU240" s="175">
        <f t="shared" si="215"/>
        <v>-0.63224798787461378</v>
      </c>
      <c r="AV240" s="175">
        <f t="shared" si="216"/>
        <v>8.1885492229768375E-2</v>
      </c>
    </row>
    <row r="241" spans="1:48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255">+D242</f>
        <v>38181818.18181818</v>
      </c>
      <c r="E241" s="9">
        <f t="shared" si="255"/>
        <v>38181818.18181818</v>
      </c>
      <c r="F241" s="9">
        <f t="shared" si="255"/>
        <v>38181818.18181818</v>
      </c>
      <c r="G241" s="9">
        <f t="shared" si="255"/>
        <v>38181818.18181818</v>
      </c>
      <c r="H241" s="9">
        <f t="shared" si="255"/>
        <v>38181818.18181818</v>
      </c>
      <c r="I241" s="9">
        <f t="shared" si="255"/>
        <v>38181818.18181818</v>
      </c>
      <c r="J241" s="9">
        <f t="shared" si="255"/>
        <v>38181818.18181818</v>
      </c>
      <c r="K241" s="9">
        <f t="shared" si="255"/>
        <v>38181818.18181818</v>
      </c>
      <c r="L241" s="9">
        <f t="shared" si="255"/>
        <v>38181818.18181818</v>
      </c>
      <c r="M241" s="9">
        <f t="shared" si="255"/>
        <v>38181818.18181818</v>
      </c>
      <c r="N241" s="9">
        <f t="shared" si="255"/>
        <v>0</v>
      </c>
      <c r="O241" s="9">
        <f t="shared" si="220"/>
        <v>152727272.72727272</v>
      </c>
      <c r="P241" s="9">
        <f t="shared" si="255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f t="shared" ref="W241" si="256">+W242</f>
        <v>74141321</v>
      </c>
      <c r="X241" s="9"/>
      <c r="Y241" s="9"/>
      <c r="Z241" s="9"/>
      <c r="AA241" s="9"/>
      <c r="AB241" s="9"/>
      <c r="AC241" s="9"/>
      <c r="AD241" s="9"/>
      <c r="AE241" s="9"/>
      <c r="AF241" s="9">
        <f t="shared" si="202"/>
        <v>320217149</v>
      </c>
      <c r="AG241" s="9">
        <f t="shared" si="203"/>
        <v>320217149</v>
      </c>
      <c r="AI241" s="175">
        <f t="shared" si="219"/>
        <v>-3.9251146214285715</v>
      </c>
      <c r="AJ241" s="175">
        <f t="shared" si="204"/>
        <v>0.46703428571428568</v>
      </c>
      <c r="AK241" s="175">
        <f t="shared" si="205"/>
        <v>1.3237221428571377E-2</v>
      </c>
      <c r="AL241" s="175">
        <f t="shared" si="206"/>
        <v>-0.94179650238095247</v>
      </c>
      <c r="AM241" s="175">
        <f t="shared" si="207"/>
        <v>1</v>
      </c>
      <c r="AN241" s="175">
        <f t="shared" si="208"/>
        <v>1</v>
      </c>
      <c r="AO241" s="175">
        <f t="shared" si="209"/>
        <v>1</v>
      </c>
      <c r="AP241" s="175">
        <f t="shared" si="210"/>
        <v>1</v>
      </c>
      <c r="AQ241" s="175">
        <f t="shared" si="211"/>
        <v>1</v>
      </c>
      <c r="AR241" s="175">
        <f t="shared" si="212"/>
        <v>1</v>
      </c>
      <c r="AS241" s="175">
        <f t="shared" si="213"/>
        <v>1</v>
      </c>
      <c r="AT241" s="175" t="e">
        <f t="shared" si="214"/>
        <v>#DIV/0!</v>
      </c>
      <c r="AU241" s="175">
        <f t="shared" si="215"/>
        <v>-1.0966599041666667</v>
      </c>
      <c r="AV241" s="175">
        <f t="shared" si="216"/>
        <v>0.23757821666666668</v>
      </c>
    </row>
    <row r="242" spans="1:48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220"/>
        <v>152727272.72727272</v>
      </c>
      <c r="P242" s="21">
        <f t="shared" ref="P242:P250" si="257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61">
        <v>74141321</v>
      </c>
      <c r="X242" s="21"/>
      <c r="Y242" s="21"/>
      <c r="Z242" s="21"/>
      <c r="AA242" s="21"/>
      <c r="AB242" s="21"/>
      <c r="AC242" s="21"/>
      <c r="AD242" s="21"/>
      <c r="AE242" s="21"/>
      <c r="AF242" s="261">
        <f t="shared" si="202"/>
        <v>320217149</v>
      </c>
      <c r="AG242" s="21">
        <f t="shared" si="203"/>
        <v>320217149</v>
      </c>
      <c r="AI242" s="176">
        <f t="shared" si="219"/>
        <v>-3.9251146214285715</v>
      </c>
      <c r="AJ242" s="176">
        <f t="shared" si="204"/>
        <v>0.46703428571428568</v>
      </c>
      <c r="AK242" s="176">
        <f t="shared" si="205"/>
        <v>1.3237221428571377E-2</v>
      </c>
      <c r="AL242" s="176">
        <f t="shared" si="206"/>
        <v>-0.94179650238095247</v>
      </c>
      <c r="AM242" s="176">
        <f t="shared" si="207"/>
        <v>1</v>
      </c>
      <c r="AN242" s="176">
        <f t="shared" si="208"/>
        <v>1</v>
      </c>
      <c r="AO242" s="176">
        <f t="shared" si="209"/>
        <v>1</v>
      </c>
      <c r="AP242" s="176">
        <f t="shared" si="210"/>
        <v>1</v>
      </c>
      <c r="AQ242" s="176">
        <f t="shared" si="211"/>
        <v>1</v>
      </c>
      <c r="AR242" s="176">
        <f t="shared" si="212"/>
        <v>1</v>
      </c>
      <c r="AS242" s="176">
        <f t="shared" si="213"/>
        <v>1</v>
      </c>
      <c r="AT242" s="176" t="e">
        <f t="shared" si="214"/>
        <v>#DIV/0!</v>
      </c>
      <c r="AU242" s="176">
        <f t="shared" si="215"/>
        <v>-1.0966599041666667</v>
      </c>
      <c r="AV242" s="176">
        <f t="shared" si="216"/>
        <v>0.23757821666666668</v>
      </c>
    </row>
    <row r="243" spans="1:48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220"/>
        <v>223418181.81818181</v>
      </c>
      <c r="P243" s="21">
        <f t="shared" si="257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61">
        <v>95826863</v>
      </c>
      <c r="X243" s="21"/>
      <c r="Y243" s="21"/>
      <c r="Z243" s="21"/>
      <c r="AA243" s="21"/>
      <c r="AB243" s="21"/>
      <c r="AC243" s="21"/>
      <c r="AD243" s="21"/>
      <c r="AE243" s="21"/>
      <c r="AF243" s="261">
        <f t="shared" si="202"/>
        <v>465024417</v>
      </c>
      <c r="AG243" s="21">
        <f t="shared" si="203"/>
        <v>465024417</v>
      </c>
      <c r="AI243" s="176">
        <f t="shared" si="219"/>
        <v>-4.9385955305989588</v>
      </c>
      <c r="AJ243" s="176">
        <f t="shared" si="204"/>
        <v>1</v>
      </c>
      <c r="AK243" s="176">
        <f t="shared" si="205"/>
        <v>0.32861328125</v>
      </c>
      <c r="AL243" s="176">
        <f t="shared" si="206"/>
        <v>-0.71565021647135418</v>
      </c>
      <c r="AM243" s="176">
        <f t="shared" si="207"/>
        <v>1</v>
      </c>
      <c r="AN243" s="176">
        <f t="shared" si="208"/>
        <v>1</v>
      </c>
      <c r="AO243" s="176">
        <f t="shared" si="209"/>
        <v>1</v>
      </c>
      <c r="AP243" s="176">
        <f t="shared" si="210"/>
        <v>1</v>
      </c>
      <c r="AQ243" s="176">
        <f t="shared" si="211"/>
        <v>1</v>
      </c>
      <c r="AR243" s="176">
        <f t="shared" si="212"/>
        <v>1</v>
      </c>
      <c r="AS243" s="176">
        <f t="shared" si="213"/>
        <v>1</v>
      </c>
      <c r="AT243" s="176" t="e">
        <f t="shared" si="214"/>
        <v>#DIV/0!</v>
      </c>
      <c r="AU243" s="176">
        <f t="shared" si="215"/>
        <v>-1.0814081164550782</v>
      </c>
      <c r="AV243" s="176">
        <f t="shared" si="216"/>
        <v>0.2431243212890625</v>
      </c>
    </row>
    <row r="244" spans="1:48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220"/>
        <v>47419244.861699969</v>
      </c>
      <c r="P244" s="21">
        <f t="shared" si="257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61">
        <v>0</v>
      </c>
      <c r="X244" s="21"/>
      <c r="Y244" s="21"/>
      <c r="Z244" s="21"/>
      <c r="AA244" s="21"/>
      <c r="AB244" s="21"/>
      <c r="AC244" s="21"/>
      <c r="AD244" s="21"/>
      <c r="AE244" s="21"/>
      <c r="AF244" s="261">
        <f t="shared" si="202"/>
        <v>1000000</v>
      </c>
      <c r="AG244" s="21">
        <f t="shared" si="203"/>
        <v>1000000</v>
      </c>
      <c r="AI244" s="176" t="e">
        <f t="shared" si="219"/>
        <v>#DIV/0!</v>
      </c>
      <c r="AJ244" s="176">
        <f t="shared" si="204"/>
        <v>1</v>
      </c>
      <c r="AK244" s="176">
        <f t="shared" si="205"/>
        <v>1</v>
      </c>
      <c r="AL244" s="176">
        <f t="shared" si="206"/>
        <v>1</v>
      </c>
      <c r="AM244" s="176">
        <f t="shared" si="207"/>
        <v>1</v>
      </c>
      <c r="AN244" s="176">
        <f t="shared" si="208"/>
        <v>1</v>
      </c>
      <c r="AO244" s="176" t="e">
        <f t="shared" si="209"/>
        <v>#DIV/0!</v>
      </c>
      <c r="AP244" s="176">
        <f t="shared" si="210"/>
        <v>1</v>
      </c>
      <c r="AQ244" s="176">
        <f t="shared" si="211"/>
        <v>1</v>
      </c>
      <c r="AR244" s="176" t="e">
        <f t="shared" si="212"/>
        <v>#DIV/0!</v>
      </c>
      <c r="AS244" s="176" t="e">
        <f t="shared" si="213"/>
        <v>#DIV/0!</v>
      </c>
      <c r="AT244" s="176" t="e">
        <f t="shared" si="214"/>
        <v>#DIV/0!</v>
      </c>
      <c r="AU244" s="176">
        <f t="shared" si="215"/>
        <v>0.97891151571652946</v>
      </c>
      <c r="AV244" s="176">
        <f t="shared" si="216"/>
        <v>0.985553150688107</v>
      </c>
    </row>
    <row r="245" spans="1:48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220"/>
        <v>689436198.43163335</v>
      </c>
      <c r="P245" s="21">
        <f t="shared" si="257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61">
        <v>132603212</v>
      </c>
      <c r="X245" s="21"/>
      <c r="Y245" s="21"/>
      <c r="Z245" s="21"/>
      <c r="AA245" s="21"/>
      <c r="AB245" s="21"/>
      <c r="AC245" s="21"/>
      <c r="AD245" s="21"/>
      <c r="AE245" s="21"/>
      <c r="AF245" s="261">
        <f t="shared" si="202"/>
        <v>1030451910</v>
      </c>
      <c r="AG245" s="21">
        <f t="shared" si="203"/>
        <v>1030451910</v>
      </c>
      <c r="AI245" s="176">
        <f t="shared" si="219"/>
        <v>-0.56502344611073807</v>
      </c>
      <c r="AJ245" s="176">
        <f t="shared" si="204"/>
        <v>0.38058455114822543</v>
      </c>
      <c r="AK245" s="176">
        <f t="shared" si="205"/>
        <v>-0.70847719377162643</v>
      </c>
      <c r="AL245" s="176">
        <f t="shared" si="206"/>
        <v>-0.73715998253275117</v>
      </c>
      <c r="AM245" s="176">
        <f t="shared" si="207"/>
        <v>1</v>
      </c>
      <c r="AN245" s="176">
        <f t="shared" si="208"/>
        <v>1</v>
      </c>
      <c r="AO245" s="176">
        <f t="shared" si="209"/>
        <v>1</v>
      </c>
      <c r="AP245" s="176">
        <f t="shared" si="210"/>
        <v>1</v>
      </c>
      <c r="AQ245" s="176">
        <f t="shared" si="211"/>
        <v>1</v>
      </c>
      <c r="AR245" s="176">
        <f t="shared" si="212"/>
        <v>1</v>
      </c>
      <c r="AS245" s="176">
        <f t="shared" si="213"/>
        <v>1</v>
      </c>
      <c r="AT245" s="176">
        <f t="shared" si="214"/>
        <v>1</v>
      </c>
      <c r="AU245" s="176">
        <f t="shared" si="215"/>
        <v>-0.4946298328172028</v>
      </c>
      <c r="AV245" s="176">
        <f t="shared" si="216"/>
        <v>-0.17752089622543893</v>
      </c>
    </row>
    <row r="246" spans="1:48" x14ac:dyDescent="0.25">
      <c r="A246" s="7" t="s">
        <v>438</v>
      </c>
      <c r="B246" s="8" t="s">
        <v>439</v>
      </c>
      <c r="C246" s="9">
        <f t="shared" ref="C246:N246" si="258">SUM(C247:C248)</f>
        <v>47250000</v>
      </c>
      <c r="D246" s="9">
        <f t="shared" si="258"/>
        <v>47250000</v>
      </c>
      <c r="E246" s="9">
        <f t="shared" si="258"/>
        <v>47250000</v>
      </c>
      <c r="F246" s="9">
        <f t="shared" si="258"/>
        <v>47250000</v>
      </c>
      <c r="G246" s="9">
        <f t="shared" si="258"/>
        <v>47250000</v>
      </c>
      <c r="H246" s="9">
        <f t="shared" si="258"/>
        <v>47250000</v>
      </c>
      <c r="I246" s="9">
        <f t="shared" si="258"/>
        <v>47250000</v>
      </c>
      <c r="J246" s="9">
        <f t="shared" si="258"/>
        <v>47250000</v>
      </c>
      <c r="K246" s="9">
        <f t="shared" si="258"/>
        <v>47250000</v>
      </c>
      <c r="L246" s="9">
        <f t="shared" si="258"/>
        <v>47250000</v>
      </c>
      <c r="M246" s="9">
        <f t="shared" si="258"/>
        <v>47250000</v>
      </c>
      <c r="N246" s="9">
        <f t="shared" si="258"/>
        <v>47250000</v>
      </c>
      <c r="O246" s="9">
        <f t="shared" si="220"/>
        <v>189000000</v>
      </c>
      <c r="P246" s="9">
        <f t="shared" si="257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f t="shared" ref="W246" si="259">+W247+W248</f>
        <v>64441914</v>
      </c>
      <c r="X246" s="9"/>
      <c r="Y246" s="9"/>
      <c r="Z246" s="9"/>
      <c r="AA246" s="9"/>
      <c r="AB246" s="9"/>
      <c r="AC246" s="9"/>
      <c r="AD246" s="9"/>
      <c r="AE246" s="9"/>
      <c r="AF246" s="9">
        <f t="shared" si="202"/>
        <v>258776296</v>
      </c>
      <c r="AG246" s="9">
        <f t="shared" si="203"/>
        <v>258776296</v>
      </c>
      <c r="AI246" s="175">
        <f t="shared" si="219"/>
        <v>-1.3803946666666667</v>
      </c>
      <c r="AJ246" s="175">
        <f t="shared" si="204"/>
        <v>-0.40266946031746031</v>
      </c>
      <c r="AK246" s="175">
        <f t="shared" si="205"/>
        <v>0.67016715343915345</v>
      </c>
      <c r="AL246" s="175">
        <f t="shared" si="206"/>
        <v>-0.36385003174603175</v>
      </c>
      <c r="AM246" s="175">
        <f t="shared" si="207"/>
        <v>1</v>
      </c>
      <c r="AN246" s="175">
        <f t="shared" si="208"/>
        <v>1</v>
      </c>
      <c r="AO246" s="175">
        <f t="shared" si="209"/>
        <v>1</v>
      </c>
      <c r="AP246" s="175">
        <f t="shared" si="210"/>
        <v>1</v>
      </c>
      <c r="AQ246" s="175">
        <f t="shared" si="211"/>
        <v>1</v>
      </c>
      <c r="AR246" s="175">
        <f t="shared" si="212"/>
        <v>1</v>
      </c>
      <c r="AS246" s="175">
        <f t="shared" si="213"/>
        <v>1</v>
      </c>
      <c r="AT246" s="175">
        <f t="shared" si="214"/>
        <v>1</v>
      </c>
      <c r="AU246" s="175">
        <f t="shared" si="215"/>
        <v>-0.36918675132275131</v>
      </c>
      <c r="AV246" s="175">
        <f t="shared" si="216"/>
        <v>0.54360441622574951</v>
      </c>
    </row>
    <row r="247" spans="1:48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220"/>
        <v>60000000</v>
      </c>
      <c r="P247" s="21">
        <f t="shared" si="257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61">
        <v>0</v>
      </c>
      <c r="X247" s="21"/>
      <c r="Y247" s="21"/>
      <c r="Z247" s="21"/>
      <c r="AA247" s="21"/>
      <c r="AB247" s="21"/>
      <c r="AC247" s="21"/>
      <c r="AD247" s="21"/>
      <c r="AE247" s="21"/>
      <c r="AF247" s="261">
        <f t="shared" si="202"/>
        <v>500000</v>
      </c>
      <c r="AG247" s="21">
        <f t="shared" si="203"/>
        <v>500000</v>
      </c>
      <c r="AI247" s="176">
        <f t="shared" si="219"/>
        <v>0.96666666666666667</v>
      </c>
      <c r="AJ247" s="176">
        <f t="shared" si="204"/>
        <v>1</v>
      </c>
      <c r="AK247" s="176">
        <f t="shared" si="205"/>
        <v>1</v>
      </c>
      <c r="AL247" s="176">
        <f t="shared" si="206"/>
        <v>1</v>
      </c>
      <c r="AM247" s="176">
        <f t="shared" si="207"/>
        <v>1</v>
      </c>
      <c r="AN247" s="176">
        <f t="shared" si="208"/>
        <v>1</v>
      </c>
      <c r="AO247" s="176">
        <f t="shared" si="209"/>
        <v>1</v>
      </c>
      <c r="AP247" s="176">
        <f t="shared" si="210"/>
        <v>1</v>
      </c>
      <c r="AQ247" s="176">
        <f t="shared" si="211"/>
        <v>1</v>
      </c>
      <c r="AR247" s="176">
        <f t="shared" si="212"/>
        <v>1</v>
      </c>
      <c r="AS247" s="176">
        <f t="shared" si="213"/>
        <v>1</v>
      </c>
      <c r="AT247" s="176">
        <f t="shared" si="214"/>
        <v>1</v>
      </c>
      <c r="AU247" s="176">
        <f t="shared" si="215"/>
        <v>0.9916666666666667</v>
      </c>
      <c r="AV247" s="176">
        <f t="shared" si="216"/>
        <v>0.99722222222222223</v>
      </c>
    </row>
    <row r="248" spans="1:48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220"/>
        <v>129000000</v>
      </c>
      <c r="P248" s="21">
        <f t="shared" si="257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61">
        <v>64441914</v>
      </c>
      <c r="X248" s="21"/>
      <c r="Y248" s="21"/>
      <c r="Z248" s="21"/>
      <c r="AA248" s="21"/>
      <c r="AB248" s="21"/>
      <c r="AC248" s="21"/>
      <c r="AD248" s="21"/>
      <c r="AE248" s="21"/>
      <c r="AF248" s="261">
        <f t="shared" si="202"/>
        <v>258276296</v>
      </c>
      <c r="AG248" s="21">
        <f t="shared" si="203"/>
        <v>258276296</v>
      </c>
      <c r="AI248" s="176">
        <f t="shared" si="219"/>
        <v>-2.472051100775194</v>
      </c>
      <c r="AJ248" s="176">
        <f t="shared" si="204"/>
        <v>-1.0550738604651162</v>
      </c>
      <c r="AK248" s="176">
        <f t="shared" si="205"/>
        <v>0.51675652713178299</v>
      </c>
      <c r="AL248" s="176">
        <f t="shared" si="206"/>
        <v>-0.99819888372093024</v>
      </c>
      <c r="AM248" s="176">
        <f t="shared" si="207"/>
        <v>1</v>
      </c>
      <c r="AN248" s="176">
        <f t="shared" si="208"/>
        <v>1</v>
      </c>
      <c r="AO248" s="176">
        <f t="shared" si="209"/>
        <v>1</v>
      </c>
      <c r="AP248" s="176">
        <f t="shared" si="210"/>
        <v>1</v>
      </c>
      <c r="AQ248" s="176">
        <f t="shared" si="211"/>
        <v>1</v>
      </c>
      <c r="AR248" s="176">
        <f t="shared" si="212"/>
        <v>1</v>
      </c>
      <c r="AS248" s="176">
        <f t="shared" si="213"/>
        <v>1</v>
      </c>
      <c r="AT248" s="176">
        <f t="shared" si="214"/>
        <v>1</v>
      </c>
      <c r="AU248" s="176">
        <f t="shared" si="215"/>
        <v>-1.0021418294573643</v>
      </c>
      <c r="AV248" s="176">
        <f t="shared" si="216"/>
        <v>0.33261939018087855</v>
      </c>
    </row>
    <row r="249" spans="1:48" x14ac:dyDescent="0.25">
      <c r="A249" s="7" t="s">
        <v>444</v>
      </c>
      <c r="B249" s="8" t="s">
        <v>445</v>
      </c>
      <c r="C249" s="9">
        <f t="shared" ref="C249:N249" si="260">SUM(C250:C250)</f>
        <v>58885750</v>
      </c>
      <c r="D249" s="9">
        <f t="shared" si="260"/>
        <v>58885750</v>
      </c>
      <c r="E249" s="9">
        <f t="shared" si="260"/>
        <v>58885750</v>
      </c>
      <c r="F249" s="9">
        <f t="shared" si="260"/>
        <v>58885750</v>
      </c>
      <c r="G249" s="9">
        <f t="shared" si="260"/>
        <v>58885750</v>
      </c>
      <c r="H249" s="9">
        <f t="shared" si="260"/>
        <v>58885750</v>
      </c>
      <c r="I249" s="9">
        <f t="shared" si="260"/>
        <v>58885750</v>
      </c>
      <c r="J249" s="9">
        <f t="shared" si="260"/>
        <v>58885750</v>
      </c>
      <c r="K249" s="9">
        <f t="shared" si="260"/>
        <v>58885750</v>
      </c>
      <c r="L249" s="9">
        <f t="shared" si="260"/>
        <v>58885750</v>
      </c>
      <c r="M249" s="9">
        <f t="shared" si="260"/>
        <v>58885750</v>
      </c>
      <c r="N249" s="9">
        <f t="shared" si="260"/>
        <v>58885750</v>
      </c>
      <c r="O249" s="9">
        <f t="shared" si="220"/>
        <v>235543000</v>
      </c>
      <c r="P249" s="9">
        <f t="shared" si="257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f t="shared" ref="W249" si="261">+W250</f>
        <v>6915966</v>
      </c>
      <c r="X249" s="9"/>
      <c r="Y249" s="9"/>
      <c r="Z249" s="9"/>
      <c r="AA249" s="9"/>
      <c r="AB249" s="9"/>
      <c r="AC249" s="9"/>
      <c r="AD249" s="9"/>
      <c r="AE249" s="9"/>
      <c r="AF249" s="9">
        <f t="shared" si="202"/>
        <v>6915966</v>
      </c>
      <c r="AG249" s="9">
        <f t="shared" si="203"/>
        <v>6915966</v>
      </c>
      <c r="AI249" s="175">
        <f t="shared" si="219"/>
        <v>1</v>
      </c>
      <c r="AJ249" s="175">
        <f t="shared" si="204"/>
        <v>1</v>
      </c>
      <c r="AK249" s="175">
        <f t="shared" si="205"/>
        <v>1</v>
      </c>
      <c r="AL249" s="175">
        <f t="shared" si="206"/>
        <v>0.88255280776758382</v>
      </c>
      <c r="AM249" s="175">
        <f t="shared" si="207"/>
        <v>1</v>
      </c>
      <c r="AN249" s="175">
        <f t="shared" si="208"/>
        <v>1</v>
      </c>
      <c r="AO249" s="175">
        <f t="shared" si="209"/>
        <v>1</v>
      </c>
      <c r="AP249" s="175">
        <f t="shared" si="210"/>
        <v>1</v>
      </c>
      <c r="AQ249" s="175">
        <f t="shared" si="211"/>
        <v>1</v>
      </c>
      <c r="AR249" s="175">
        <f t="shared" si="212"/>
        <v>1</v>
      </c>
      <c r="AS249" s="175">
        <f t="shared" si="213"/>
        <v>1</v>
      </c>
      <c r="AT249" s="175">
        <f t="shared" si="214"/>
        <v>1</v>
      </c>
      <c r="AU249" s="175">
        <f t="shared" si="215"/>
        <v>0.97063820194189598</v>
      </c>
      <c r="AV249" s="175">
        <f t="shared" si="216"/>
        <v>0.99021273398063203</v>
      </c>
    </row>
    <row r="250" spans="1:48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220"/>
        <v>235543000</v>
      </c>
      <c r="P250" s="21">
        <f t="shared" si="257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61">
        <v>6915966</v>
      </c>
      <c r="X250" s="21"/>
      <c r="Y250" s="21"/>
      <c r="Z250" s="21"/>
      <c r="AA250" s="21"/>
      <c r="AB250" s="21"/>
      <c r="AC250" s="21"/>
      <c r="AD250" s="21"/>
      <c r="AE250" s="21"/>
      <c r="AF250" s="261">
        <f t="shared" si="202"/>
        <v>6915966</v>
      </c>
      <c r="AG250" s="21">
        <f t="shared" si="203"/>
        <v>6915966</v>
      </c>
      <c r="AI250" s="176">
        <f t="shared" si="219"/>
        <v>1</v>
      </c>
      <c r="AJ250" s="176">
        <f t="shared" si="204"/>
        <v>1</v>
      </c>
      <c r="AK250" s="176">
        <f t="shared" si="205"/>
        <v>1</v>
      </c>
      <c r="AL250" s="176">
        <f t="shared" si="206"/>
        <v>0.88255280776758382</v>
      </c>
      <c r="AM250" s="176">
        <f t="shared" si="207"/>
        <v>1</v>
      </c>
      <c r="AN250" s="176">
        <f t="shared" si="208"/>
        <v>1</v>
      </c>
      <c r="AO250" s="176">
        <f t="shared" si="209"/>
        <v>1</v>
      </c>
      <c r="AP250" s="176">
        <f t="shared" si="210"/>
        <v>1</v>
      </c>
      <c r="AQ250" s="176">
        <f t="shared" si="211"/>
        <v>1</v>
      </c>
      <c r="AR250" s="176">
        <f t="shared" si="212"/>
        <v>1</v>
      </c>
      <c r="AS250" s="176">
        <f t="shared" si="213"/>
        <v>1</v>
      </c>
      <c r="AT250" s="176">
        <f t="shared" si="214"/>
        <v>1</v>
      </c>
      <c r="AU250" s="176">
        <f t="shared" si="215"/>
        <v>0.97063820194189598</v>
      </c>
      <c r="AV250" s="176">
        <f t="shared" si="216"/>
        <v>0.99021273398063203</v>
      </c>
    </row>
    <row r="251" spans="1:48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262">+D252+D253</f>
        <v>1899292</v>
      </c>
      <c r="E251" s="9">
        <f t="shared" si="262"/>
        <v>1899292</v>
      </c>
      <c r="F251" s="9">
        <f t="shared" si="262"/>
        <v>1899292</v>
      </c>
      <c r="G251" s="9">
        <f t="shared" si="262"/>
        <v>1899292</v>
      </c>
      <c r="H251" s="9">
        <f t="shared" si="262"/>
        <v>1899292</v>
      </c>
      <c r="I251" s="9">
        <f t="shared" si="262"/>
        <v>1899292</v>
      </c>
      <c r="J251" s="9">
        <f t="shared" si="262"/>
        <v>1899292</v>
      </c>
      <c r="K251" s="9">
        <f t="shared" si="262"/>
        <v>1899292</v>
      </c>
      <c r="L251" s="9">
        <f t="shared" si="262"/>
        <v>3932802</v>
      </c>
      <c r="M251" s="9">
        <f t="shared" si="262"/>
        <v>1750000</v>
      </c>
      <c r="N251" s="9">
        <f t="shared" si="262"/>
        <v>1750000</v>
      </c>
      <c r="O251" s="9">
        <f t="shared" si="220"/>
        <v>7597168</v>
      </c>
      <c r="P251" s="9">
        <f t="shared" si="262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f t="shared" ref="W251" si="263">+W252+W253</f>
        <v>0</v>
      </c>
      <c r="X251" s="9"/>
      <c r="Y251" s="9"/>
      <c r="Z251" s="9"/>
      <c r="AA251" s="9"/>
      <c r="AB251" s="9"/>
      <c r="AC251" s="9"/>
      <c r="AD251" s="9"/>
      <c r="AE251" s="9"/>
      <c r="AF251" s="9">
        <f t="shared" si="202"/>
        <v>500000</v>
      </c>
      <c r="AG251" s="9">
        <f t="shared" si="203"/>
        <v>500000</v>
      </c>
      <c r="AI251" s="175">
        <f t="shared" si="219"/>
        <v>0.7367440077671048</v>
      </c>
      <c r="AJ251" s="175">
        <f t="shared" si="204"/>
        <v>1</v>
      </c>
      <c r="AK251" s="175">
        <f t="shared" si="205"/>
        <v>1</v>
      </c>
      <c r="AL251" s="175">
        <f t="shared" si="206"/>
        <v>1</v>
      </c>
      <c r="AM251" s="175">
        <f t="shared" si="207"/>
        <v>1</v>
      </c>
      <c r="AN251" s="175">
        <f t="shared" si="208"/>
        <v>1</v>
      </c>
      <c r="AO251" s="175">
        <f t="shared" si="209"/>
        <v>1</v>
      </c>
      <c r="AP251" s="175">
        <f t="shared" si="210"/>
        <v>1</v>
      </c>
      <c r="AQ251" s="175">
        <f t="shared" si="211"/>
        <v>1</v>
      </c>
      <c r="AR251" s="175">
        <f t="shared" si="212"/>
        <v>1</v>
      </c>
      <c r="AS251" s="175">
        <f t="shared" si="213"/>
        <v>1</v>
      </c>
      <c r="AT251" s="175">
        <f t="shared" si="214"/>
        <v>1</v>
      </c>
      <c r="AU251" s="175">
        <f t="shared" si="215"/>
        <v>0.93418600194177615</v>
      </c>
      <c r="AV251" s="175">
        <f t="shared" si="216"/>
        <v>0.97961382883689152</v>
      </c>
    </row>
    <row r="252" spans="1:48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220"/>
        <v>7000000</v>
      </c>
      <c r="P252" s="21">
        <f t="shared" ref="P252:P266" si="264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61">
        <v>0</v>
      </c>
      <c r="X252" s="21"/>
      <c r="Y252" s="21"/>
      <c r="Z252" s="21"/>
      <c r="AA252" s="21"/>
      <c r="AB252" s="21"/>
      <c r="AC252" s="21"/>
      <c r="AD252" s="21"/>
      <c r="AE252" s="21"/>
      <c r="AF252" s="261">
        <f t="shared" si="202"/>
        <v>0</v>
      </c>
      <c r="AG252" s="21">
        <f t="shared" si="203"/>
        <v>0</v>
      </c>
      <c r="AI252" s="176">
        <f t="shared" si="219"/>
        <v>1</v>
      </c>
      <c r="AJ252" s="176">
        <f t="shared" si="204"/>
        <v>1</v>
      </c>
      <c r="AK252" s="176">
        <f t="shared" si="205"/>
        <v>1</v>
      </c>
      <c r="AL252" s="176">
        <f t="shared" si="206"/>
        <v>1</v>
      </c>
      <c r="AM252" s="176">
        <f t="shared" si="207"/>
        <v>1</v>
      </c>
      <c r="AN252" s="176">
        <f t="shared" si="208"/>
        <v>1</v>
      </c>
      <c r="AO252" s="176">
        <f t="shared" si="209"/>
        <v>1</v>
      </c>
      <c r="AP252" s="176">
        <f t="shared" si="210"/>
        <v>1</v>
      </c>
      <c r="AQ252" s="176">
        <f t="shared" si="211"/>
        <v>1</v>
      </c>
      <c r="AR252" s="176">
        <f t="shared" si="212"/>
        <v>1</v>
      </c>
      <c r="AS252" s="176">
        <f t="shared" si="213"/>
        <v>1</v>
      </c>
      <c r="AT252" s="176">
        <f t="shared" si="214"/>
        <v>1</v>
      </c>
      <c r="AU252" s="176">
        <f t="shared" si="215"/>
        <v>1</v>
      </c>
      <c r="AV252" s="176">
        <f t="shared" si="216"/>
        <v>1</v>
      </c>
    </row>
    <row r="253" spans="1:48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220"/>
        <v>597168</v>
      </c>
      <c r="P253" s="21">
        <f t="shared" si="264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61">
        <v>0</v>
      </c>
      <c r="X253" s="21"/>
      <c r="Y253" s="21"/>
      <c r="Z253" s="21"/>
      <c r="AA253" s="21"/>
      <c r="AB253" s="21"/>
      <c r="AC253" s="21"/>
      <c r="AD253" s="21"/>
      <c r="AE253" s="21"/>
      <c r="AF253" s="261">
        <f t="shared" si="202"/>
        <v>500000</v>
      </c>
      <c r="AG253" s="21">
        <f t="shared" si="203"/>
        <v>500000</v>
      </c>
      <c r="AI253" s="176">
        <f t="shared" si="219"/>
        <v>-2.349141280175763</v>
      </c>
      <c r="AJ253" s="176">
        <f t="shared" si="204"/>
        <v>1</v>
      </c>
      <c r="AK253" s="176">
        <f t="shared" si="205"/>
        <v>1</v>
      </c>
      <c r="AL253" s="176">
        <f t="shared" si="206"/>
        <v>1</v>
      </c>
      <c r="AM253" s="176">
        <f t="shared" si="207"/>
        <v>1</v>
      </c>
      <c r="AN253" s="176">
        <f t="shared" si="208"/>
        <v>1</v>
      </c>
      <c r="AO253" s="176">
        <f t="shared" si="209"/>
        <v>1</v>
      </c>
      <c r="AP253" s="176">
        <f t="shared" si="210"/>
        <v>1</v>
      </c>
      <c r="AQ253" s="176">
        <f t="shared" si="211"/>
        <v>1</v>
      </c>
      <c r="AR253" s="176">
        <f t="shared" si="212"/>
        <v>1</v>
      </c>
      <c r="AS253" s="176" t="e">
        <f t="shared" si="213"/>
        <v>#DIV/0!</v>
      </c>
      <c r="AT253" s="176" t="e">
        <f t="shared" si="214"/>
        <v>#DIV/0!</v>
      </c>
      <c r="AU253" s="176">
        <f t="shared" si="215"/>
        <v>0.16271467995605926</v>
      </c>
      <c r="AV253" s="176">
        <f t="shared" si="216"/>
        <v>0.85821354741197187</v>
      </c>
    </row>
    <row r="254" spans="1:48" x14ac:dyDescent="0.25">
      <c r="A254" s="7" t="s">
        <v>454</v>
      </c>
      <c r="B254" s="8" t="s">
        <v>455</v>
      </c>
      <c r="C254" s="9">
        <f t="shared" ref="C254:N254" si="265">+C255+C261+C263</f>
        <v>16617695.414305327</v>
      </c>
      <c r="D254" s="9">
        <f t="shared" si="265"/>
        <v>25711345.747638665</v>
      </c>
      <c r="E254" s="9">
        <f t="shared" si="265"/>
        <v>30217695.414305329</v>
      </c>
      <c r="F254" s="9">
        <f t="shared" si="265"/>
        <v>22617695.414305329</v>
      </c>
      <c r="G254" s="9">
        <f t="shared" si="265"/>
        <v>24617695.414305329</v>
      </c>
      <c r="H254" s="9">
        <f t="shared" si="265"/>
        <v>16740170.233333334</v>
      </c>
      <c r="I254" s="9">
        <f t="shared" si="265"/>
        <v>18740170.233333334</v>
      </c>
      <c r="J254" s="9">
        <f t="shared" si="265"/>
        <v>39340170.233333334</v>
      </c>
      <c r="K254" s="9">
        <f t="shared" si="265"/>
        <v>17740170.233333334</v>
      </c>
      <c r="L254" s="9">
        <f t="shared" si="265"/>
        <v>20740170.233333334</v>
      </c>
      <c r="M254" s="9">
        <f t="shared" si="265"/>
        <v>21933208.333333336</v>
      </c>
      <c r="N254" s="9">
        <f t="shared" si="265"/>
        <v>9933208.333333334</v>
      </c>
      <c r="O254" s="9">
        <f t="shared" si="220"/>
        <v>95164431.990554661</v>
      </c>
      <c r="P254" s="9">
        <f t="shared" si="264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f t="shared" ref="W254" si="266">+W255+W261+W263</f>
        <v>15397563</v>
      </c>
      <c r="X254" s="9"/>
      <c r="Y254" s="9"/>
      <c r="Z254" s="9"/>
      <c r="AA254" s="9"/>
      <c r="AB254" s="9"/>
      <c r="AC254" s="9"/>
      <c r="AD254" s="9"/>
      <c r="AE254" s="9"/>
      <c r="AF254" s="9">
        <f t="shared" si="202"/>
        <v>129598673</v>
      </c>
      <c r="AG254" s="9">
        <f t="shared" si="203"/>
        <v>129598673</v>
      </c>
      <c r="AI254" s="175">
        <f t="shared" si="219"/>
        <v>-3.0154845985778014</v>
      </c>
      <c r="AJ254" s="175">
        <f t="shared" si="204"/>
        <v>0.78625000597237371</v>
      </c>
      <c r="AK254" s="175">
        <f t="shared" si="205"/>
        <v>-0.38915987551213488</v>
      </c>
      <c r="AL254" s="175">
        <f t="shared" si="206"/>
        <v>0.31922493791028378</v>
      </c>
      <c r="AM254" s="175">
        <f t="shared" si="207"/>
        <v>1</v>
      </c>
      <c r="AN254" s="175">
        <f t="shared" si="208"/>
        <v>1</v>
      </c>
      <c r="AO254" s="175">
        <f t="shared" si="209"/>
        <v>1</v>
      </c>
      <c r="AP254" s="175">
        <f t="shared" si="210"/>
        <v>1</v>
      </c>
      <c r="AQ254" s="175">
        <f t="shared" si="211"/>
        <v>1</v>
      </c>
      <c r="AR254" s="175">
        <f t="shared" si="212"/>
        <v>1</v>
      </c>
      <c r="AS254" s="175">
        <f t="shared" si="213"/>
        <v>1</v>
      </c>
      <c r="AT254" s="175">
        <f t="shared" si="214"/>
        <v>1</v>
      </c>
      <c r="AU254" s="175">
        <f t="shared" si="215"/>
        <v>-0.36183940038504131</v>
      </c>
      <c r="AV254" s="175">
        <f t="shared" si="216"/>
        <v>0.51085499597578288</v>
      </c>
    </row>
    <row r="255" spans="1:48" x14ac:dyDescent="0.25">
      <c r="A255" s="7" t="s">
        <v>456</v>
      </c>
      <c r="B255" s="8" t="s">
        <v>753</v>
      </c>
      <c r="C255" s="9">
        <f t="shared" ref="C255:N255" si="267">SUM(C256:C260)</f>
        <v>9831518.5143053271</v>
      </c>
      <c r="D255" s="9">
        <f t="shared" si="267"/>
        <v>18925168.847638663</v>
      </c>
      <c r="E255" s="9">
        <f t="shared" si="267"/>
        <v>23431518.514305331</v>
      </c>
      <c r="F255" s="9">
        <f t="shared" si="267"/>
        <v>15831518.514305327</v>
      </c>
      <c r="G255" s="9">
        <f t="shared" si="267"/>
        <v>17831518.514305327</v>
      </c>
      <c r="H255" s="9">
        <f t="shared" si="267"/>
        <v>9953993.333333334</v>
      </c>
      <c r="I255" s="9">
        <f t="shared" si="267"/>
        <v>11953993.333333334</v>
      </c>
      <c r="J255" s="9">
        <f t="shared" si="267"/>
        <v>32553993.333333336</v>
      </c>
      <c r="K255" s="9">
        <f t="shared" si="267"/>
        <v>10953993.333333334</v>
      </c>
      <c r="L255" s="9">
        <f t="shared" si="267"/>
        <v>13953993.333333332</v>
      </c>
      <c r="M255" s="9">
        <f t="shared" si="267"/>
        <v>19433208.333333336</v>
      </c>
      <c r="N255" s="9">
        <f t="shared" si="267"/>
        <v>7433208.333333334</v>
      </c>
      <c r="O255" s="9">
        <f t="shared" si="220"/>
        <v>68019724.390554652</v>
      </c>
      <c r="P255" s="9">
        <f t="shared" si="264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f t="shared" ref="W255" si="268">SUM(W256:W260)</f>
        <v>15397563</v>
      </c>
      <c r="X255" s="9"/>
      <c r="Y255" s="9"/>
      <c r="Z255" s="9"/>
      <c r="AA255" s="9"/>
      <c r="AB255" s="9"/>
      <c r="AC255" s="9"/>
      <c r="AD255" s="9"/>
      <c r="AE255" s="9"/>
      <c r="AF255" s="9">
        <f t="shared" si="202"/>
        <v>105643925</v>
      </c>
      <c r="AG255" s="9">
        <f t="shared" si="203"/>
        <v>105643925</v>
      </c>
      <c r="AI255" s="175">
        <f t="shared" si="219"/>
        <v>-4.4025963458965265</v>
      </c>
      <c r="AJ255" s="175">
        <f t="shared" si="204"/>
        <v>0.70960364770083817</v>
      </c>
      <c r="AK255" s="175">
        <f t="shared" si="205"/>
        <v>-0.35009756114126395</v>
      </c>
      <c r="AL255" s="175">
        <f t="shared" si="206"/>
        <v>2.7410858529660676E-2</v>
      </c>
      <c r="AM255" s="175">
        <f t="shared" si="207"/>
        <v>1</v>
      </c>
      <c r="AN255" s="175">
        <f t="shared" si="208"/>
        <v>1</v>
      </c>
      <c r="AO255" s="175">
        <f t="shared" si="209"/>
        <v>1</v>
      </c>
      <c r="AP255" s="175">
        <f t="shared" si="210"/>
        <v>1</v>
      </c>
      <c r="AQ255" s="175">
        <f t="shared" si="211"/>
        <v>1</v>
      </c>
      <c r="AR255" s="175">
        <f t="shared" si="212"/>
        <v>1</v>
      </c>
      <c r="AS255" s="175">
        <f t="shared" si="213"/>
        <v>1</v>
      </c>
      <c r="AT255" s="175">
        <f t="shared" si="214"/>
        <v>1</v>
      </c>
      <c r="AU255" s="175">
        <f t="shared" si="215"/>
        <v>-0.55313662245108886</v>
      </c>
      <c r="AV255" s="175">
        <f t="shared" si="216"/>
        <v>0.45002222647595758</v>
      </c>
    </row>
    <row r="256" spans="1:48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220"/>
        <v>13666666.666666668</v>
      </c>
      <c r="P256" s="21">
        <f t="shared" si="264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61">
        <v>0</v>
      </c>
      <c r="X256" s="21"/>
      <c r="Y256" s="21"/>
      <c r="Z256" s="21"/>
      <c r="AA256" s="21"/>
      <c r="AB256" s="21"/>
      <c r="AC256" s="21"/>
      <c r="AD256" s="21"/>
      <c r="AE256" s="21"/>
      <c r="AF256" s="261">
        <f t="shared" si="202"/>
        <v>3800000</v>
      </c>
      <c r="AG256" s="21">
        <f t="shared" si="203"/>
        <v>3800000</v>
      </c>
      <c r="AI256" s="176">
        <f t="shared" si="219"/>
        <v>-0.98260869565217379</v>
      </c>
      <c r="AJ256" s="176">
        <f t="shared" si="204"/>
        <v>1</v>
      </c>
      <c r="AK256" s="176">
        <f t="shared" si="205"/>
        <v>1</v>
      </c>
      <c r="AL256" s="176">
        <f t="shared" si="206"/>
        <v>1</v>
      </c>
      <c r="AM256" s="176">
        <f t="shared" si="207"/>
        <v>1</v>
      </c>
      <c r="AN256" s="176">
        <f t="shared" si="208"/>
        <v>1</v>
      </c>
      <c r="AO256" s="176">
        <f t="shared" si="209"/>
        <v>1</v>
      </c>
      <c r="AP256" s="176">
        <f t="shared" si="210"/>
        <v>1</v>
      </c>
      <c r="AQ256" s="176">
        <f t="shared" si="211"/>
        <v>1</v>
      </c>
      <c r="AR256" s="176">
        <f t="shared" si="212"/>
        <v>1</v>
      </c>
      <c r="AS256" s="176">
        <f t="shared" si="213"/>
        <v>1</v>
      </c>
      <c r="AT256" s="176">
        <f t="shared" si="214"/>
        <v>1</v>
      </c>
      <c r="AU256" s="176">
        <f t="shared" si="215"/>
        <v>0.7219512195121951</v>
      </c>
      <c r="AV256" s="176">
        <f t="shared" si="216"/>
        <v>0.89142857142857146</v>
      </c>
    </row>
    <row r="257" spans="1:48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220"/>
        <v>11500000</v>
      </c>
      <c r="P257" s="21">
        <f t="shared" si="264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61">
        <v>0</v>
      </c>
      <c r="X257" s="21"/>
      <c r="Y257" s="21"/>
      <c r="Z257" s="21"/>
      <c r="AA257" s="21"/>
      <c r="AB257" s="21"/>
      <c r="AC257" s="21"/>
      <c r="AD257" s="21"/>
      <c r="AE257" s="21"/>
      <c r="AF257" s="261">
        <f t="shared" si="202"/>
        <v>2000000</v>
      </c>
      <c r="AG257" s="21">
        <f t="shared" si="203"/>
        <v>2000000</v>
      </c>
      <c r="AI257" s="176">
        <f t="shared" si="219"/>
        <v>-0.29032258064516131</v>
      </c>
      <c r="AJ257" s="176">
        <f t="shared" si="204"/>
        <v>1</v>
      </c>
      <c r="AK257" s="176">
        <f t="shared" si="205"/>
        <v>1</v>
      </c>
      <c r="AL257" s="176">
        <f t="shared" si="206"/>
        <v>1</v>
      </c>
      <c r="AM257" s="176">
        <f t="shared" si="207"/>
        <v>1</v>
      </c>
      <c r="AN257" s="176">
        <f t="shared" si="208"/>
        <v>1</v>
      </c>
      <c r="AO257" s="176">
        <f t="shared" si="209"/>
        <v>1</v>
      </c>
      <c r="AP257" s="176">
        <f t="shared" si="210"/>
        <v>1</v>
      </c>
      <c r="AQ257" s="176">
        <f t="shared" si="211"/>
        <v>1</v>
      </c>
      <c r="AR257" s="176">
        <f t="shared" si="212"/>
        <v>1</v>
      </c>
      <c r="AS257" s="176">
        <f t="shared" si="213"/>
        <v>1</v>
      </c>
      <c r="AT257" s="176">
        <f t="shared" si="214"/>
        <v>1</v>
      </c>
      <c r="AU257" s="176">
        <f t="shared" si="215"/>
        <v>0.82608695652173914</v>
      </c>
      <c r="AV257" s="176">
        <f t="shared" si="216"/>
        <v>0.94318181818181823</v>
      </c>
    </row>
    <row r="258" spans="1:48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220"/>
        <v>19842957</v>
      </c>
      <c r="P258" s="21">
        <f t="shared" si="264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61">
        <v>0</v>
      </c>
      <c r="X258" s="21"/>
      <c r="Y258" s="21"/>
      <c r="Z258" s="21"/>
      <c r="AA258" s="21"/>
      <c r="AB258" s="21"/>
      <c r="AC258" s="21"/>
      <c r="AD258" s="21"/>
      <c r="AE258" s="21"/>
      <c r="AF258" s="261">
        <f t="shared" si="202"/>
        <v>2500000</v>
      </c>
      <c r="AG258" s="21">
        <f t="shared" si="203"/>
        <v>2500000</v>
      </c>
      <c r="AI258" s="176">
        <f t="shared" si="219"/>
        <v>-0.34240681011924146</v>
      </c>
      <c r="AJ258" s="176">
        <f t="shared" si="204"/>
        <v>1</v>
      </c>
      <c r="AK258" s="176">
        <f t="shared" si="205"/>
        <v>1</v>
      </c>
      <c r="AL258" s="176">
        <f t="shared" si="206"/>
        <v>1</v>
      </c>
      <c r="AM258" s="176">
        <f t="shared" si="207"/>
        <v>1</v>
      </c>
      <c r="AN258" s="176">
        <f t="shared" si="208"/>
        <v>1</v>
      </c>
      <c r="AO258" s="176">
        <f t="shared" si="209"/>
        <v>1</v>
      </c>
      <c r="AP258" s="176">
        <f t="shared" si="210"/>
        <v>1</v>
      </c>
      <c r="AQ258" s="176">
        <f t="shared" si="211"/>
        <v>1</v>
      </c>
      <c r="AR258" s="176">
        <f t="shared" si="212"/>
        <v>1</v>
      </c>
      <c r="AS258" s="176">
        <f t="shared" si="213"/>
        <v>1</v>
      </c>
      <c r="AT258" s="176">
        <f t="shared" si="214"/>
        <v>1</v>
      </c>
      <c r="AU258" s="176">
        <f t="shared" si="215"/>
        <v>0.87401071322182478</v>
      </c>
      <c r="AV258" s="176">
        <f t="shared" si="216"/>
        <v>0.94444444485596701</v>
      </c>
    </row>
    <row r="259" spans="1:48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220"/>
        <v>12500000</v>
      </c>
      <c r="P259" s="21">
        <f t="shared" si="264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61">
        <v>15397563</v>
      </c>
      <c r="X259" s="21"/>
      <c r="Y259" s="21"/>
      <c r="Z259" s="21"/>
      <c r="AA259" s="21"/>
      <c r="AB259" s="21"/>
      <c r="AC259" s="21"/>
      <c r="AD259" s="21"/>
      <c r="AE259" s="21"/>
      <c r="AF259" s="261">
        <f t="shared" si="202"/>
        <v>75707723</v>
      </c>
      <c r="AG259" s="21">
        <f t="shared" si="203"/>
        <v>75707723</v>
      </c>
      <c r="AI259" s="176">
        <f t="shared" si="219"/>
        <v>-12.03927619047619</v>
      </c>
      <c r="AJ259" s="176">
        <f t="shared" si="204"/>
        <v>0.68196190476190477</v>
      </c>
      <c r="AK259" s="176">
        <f t="shared" si="205"/>
        <v>-4.4588562162162164</v>
      </c>
      <c r="AL259" s="176">
        <f t="shared" si="206"/>
        <v>-4.8657382857142855</v>
      </c>
      <c r="AM259" s="176">
        <f t="shared" si="207"/>
        <v>1</v>
      </c>
      <c r="AN259" s="176">
        <f t="shared" si="208"/>
        <v>1</v>
      </c>
      <c r="AO259" s="176">
        <f t="shared" si="209"/>
        <v>1</v>
      </c>
      <c r="AP259" s="176">
        <f t="shared" si="210"/>
        <v>1</v>
      </c>
      <c r="AQ259" s="176">
        <f t="shared" si="211"/>
        <v>1</v>
      </c>
      <c r="AR259" s="176">
        <f t="shared" si="212"/>
        <v>1</v>
      </c>
      <c r="AS259" s="176">
        <f t="shared" si="213"/>
        <v>1</v>
      </c>
      <c r="AT259" s="176">
        <f t="shared" si="214"/>
        <v>1</v>
      </c>
      <c r="AU259" s="176">
        <f t="shared" si="215"/>
        <v>-5.0566178400000004</v>
      </c>
      <c r="AV259" s="176">
        <f t="shared" si="216"/>
        <v>-0.82428248192771081</v>
      </c>
    </row>
    <row r="260" spans="1:48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220"/>
        <v>10510100.723887974</v>
      </c>
      <c r="P260" s="21">
        <f t="shared" si="264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61">
        <v>0</v>
      </c>
      <c r="X260" s="21"/>
      <c r="Y260" s="21"/>
      <c r="Z260" s="21"/>
      <c r="AA260" s="21"/>
      <c r="AB260" s="21"/>
      <c r="AC260" s="21"/>
      <c r="AD260" s="21"/>
      <c r="AE260" s="21"/>
      <c r="AF260" s="261">
        <f t="shared" si="202"/>
        <v>21636202</v>
      </c>
      <c r="AG260" s="21">
        <f t="shared" si="203"/>
        <v>21636202</v>
      </c>
      <c r="AI260" s="176">
        <f t="shared" si="219"/>
        <v>-4.6391392814869157</v>
      </c>
      <c r="AJ260" s="176">
        <f t="shared" si="204"/>
        <v>-1.4824966648846905</v>
      </c>
      <c r="AK260" s="176">
        <f t="shared" si="205"/>
        <v>-0.30960390013344286</v>
      </c>
      <c r="AL260" s="176">
        <f t="shared" si="206"/>
        <v>1</v>
      </c>
      <c r="AM260" s="176">
        <f t="shared" si="207"/>
        <v>1</v>
      </c>
      <c r="AN260" s="176" t="e">
        <f t="shared" si="208"/>
        <v>#DIV/0!</v>
      </c>
      <c r="AO260" s="176" t="e">
        <f t="shared" si="209"/>
        <v>#DIV/0!</v>
      </c>
      <c r="AP260" s="176">
        <f t="shared" si="210"/>
        <v>1</v>
      </c>
      <c r="AQ260" s="176" t="e">
        <f t="shared" si="211"/>
        <v>#DIV/0!</v>
      </c>
      <c r="AR260" s="176" t="e">
        <f t="shared" si="212"/>
        <v>#DIV/0!</v>
      </c>
      <c r="AS260" s="176" t="e">
        <f t="shared" si="213"/>
        <v>#DIV/0!</v>
      </c>
      <c r="AT260" s="176" t="e">
        <f t="shared" si="214"/>
        <v>#DIV/0!</v>
      </c>
      <c r="AU260" s="176">
        <f t="shared" si="215"/>
        <v>-1.0586103376558484</v>
      </c>
      <c r="AV260" s="176">
        <f t="shared" si="216"/>
        <v>0.38859413575329482</v>
      </c>
    </row>
    <row r="261" spans="1:48" x14ac:dyDescent="0.25">
      <c r="A261" s="7" t="s">
        <v>468</v>
      </c>
      <c r="B261" s="8" t="s">
        <v>469</v>
      </c>
      <c r="C261" s="9">
        <f t="shared" ref="C261:N261" si="269">SUM(C262:C262)</f>
        <v>4286176.9000000004</v>
      </c>
      <c r="D261" s="9">
        <f t="shared" si="269"/>
        <v>4286176.9000000004</v>
      </c>
      <c r="E261" s="9">
        <f t="shared" si="269"/>
        <v>4286176.9000000004</v>
      </c>
      <c r="F261" s="9">
        <f t="shared" si="269"/>
        <v>4286176.9000000004</v>
      </c>
      <c r="G261" s="9">
        <f t="shared" si="269"/>
        <v>4286176.9000000004</v>
      </c>
      <c r="H261" s="9">
        <f t="shared" si="269"/>
        <v>4286176.9000000004</v>
      </c>
      <c r="I261" s="9">
        <f t="shared" si="269"/>
        <v>4286176.9000000004</v>
      </c>
      <c r="J261" s="9">
        <f t="shared" si="269"/>
        <v>4286176.9000000004</v>
      </c>
      <c r="K261" s="9">
        <f t="shared" si="269"/>
        <v>4286176.9000000004</v>
      </c>
      <c r="L261" s="9">
        <f t="shared" si="269"/>
        <v>4286176.9000000004</v>
      </c>
      <c r="M261" s="9">
        <f t="shared" si="269"/>
        <v>0</v>
      </c>
      <c r="N261" s="9">
        <f t="shared" si="269"/>
        <v>0</v>
      </c>
      <c r="O261" s="9">
        <f t="shared" si="220"/>
        <v>17144707.600000001</v>
      </c>
      <c r="P261" s="9">
        <f t="shared" si="264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f t="shared" ref="W261" si="270">+W262</f>
        <v>0</v>
      </c>
      <c r="X261" s="9"/>
      <c r="Y261" s="9"/>
      <c r="Z261" s="9"/>
      <c r="AA261" s="9"/>
      <c r="AB261" s="9"/>
      <c r="AC261" s="9"/>
      <c r="AD261" s="9"/>
      <c r="AE261" s="9"/>
      <c r="AF261" s="9">
        <f t="shared" si="202"/>
        <v>21954748</v>
      </c>
      <c r="AG261" s="9">
        <f t="shared" si="203"/>
        <v>21954748</v>
      </c>
      <c r="AI261" s="175">
        <f t="shared" si="219"/>
        <v>-1.7092614866175959</v>
      </c>
      <c r="AJ261" s="175">
        <f t="shared" si="204"/>
        <v>1</v>
      </c>
      <c r="AK261" s="175">
        <f t="shared" si="205"/>
        <v>-1.4129601370396072</v>
      </c>
      <c r="AL261" s="175">
        <f t="shared" si="206"/>
        <v>1</v>
      </c>
      <c r="AM261" s="175">
        <f t="shared" si="207"/>
        <v>1</v>
      </c>
      <c r="AN261" s="175">
        <f t="shared" si="208"/>
        <v>1</v>
      </c>
      <c r="AO261" s="175">
        <f t="shared" si="209"/>
        <v>1</v>
      </c>
      <c r="AP261" s="175">
        <f t="shared" si="210"/>
        <v>1</v>
      </c>
      <c r="AQ261" s="175">
        <f t="shared" si="211"/>
        <v>1</v>
      </c>
      <c r="AR261" s="175">
        <f t="shared" si="212"/>
        <v>1</v>
      </c>
      <c r="AS261" s="175" t="e">
        <f t="shared" si="213"/>
        <v>#DIV/0!</v>
      </c>
      <c r="AT261" s="175" t="e">
        <f t="shared" si="214"/>
        <v>#DIV/0!</v>
      </c>
      <c r="AU261" s="175">
        <f t="shared" si="215"/>
        <v>-0.28055540591430084</v>
      </c>
      <c r="AV261" s="175">
        <f t="shared" si="216"/>
        <v>0.48777783763427957</v>
      </c>
    </row>
    <row r="262" spans="1:48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220"/>
        <v>17144707.600000001</v>
      </c>
      <c r="P262" s="21">
        <f t="shared" si="264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61">
        <v>0</v>
      </c>
      <c r="X262" s="21"/>
      <c r="Y262" s="21"/>
      <c r="Z262" s="21"/>
      <c r="AA262" s="21"/>
      <c r="AB262" s="21"/>
      <c r="AC262" s="21"/>
      <c r="AD262" s="21"/>
      <c r="AE262" s="21"/>
      <c r="AF262" s="261">
        <f t="shared" ref="AF262:AF325" si="271">+T262+U262+V262+W262</f>
        <v>21954748</v>
      </c>
      <c r="AG262" s="21">
        <f t="shared" ref="AG262:AG325" si="272">+T262+U262+V262+W262</f>
        <v>21954748</v>
      </c>
      <c r="AI262" s="176">
        <f t="shared" si="219"/>
        <v>-1.7092614866175959</v>
      </c>
      <c r="AJ262" s="176">
        <f t="shared" si="204"/>
        <v>1</v>
      </c>
      <c r="AK262" s="176">
        <f t="shared" si="205"/>
        <v>-1.4129601370396072</v>
      </c>
      <c r="AL262" s="176">
        <f t="shared" si="206"/>
        <v>1</v>
      </c>
      <c r="AM262" s="176">
        <f t="shared" si="207"/>
        <v>1</v>
      </c>
      <c r="AN262" s="176">
        <f t="shared" si="208"/>
        <v>1</v>
      </c>
      <c r="AO262" s="176">
        <f t="shared" si="209"/>
        <v>1</v>
      </c>
      <c r="AP262" s="176">
        <f t="shared" si="210"/>
        <v>1</v>
      </c>
      <c r="AQ262" s="176">
        <f t="shared" si="211"/>
        <v>1</v>
      </c>
      <c r="AR262" s="176">
        <f t="shared" si="212"/>
        <v>1</v>
      </c>
      <c r="AS262" s="176" t="e">
        <f t="shared" si="213"/>
        <v>#DIV/0!</v>
      </c>
      <c r="AT262" s="176" t="e">
        <f t="shared" si="214"/>
        <v>#DIV/0!</v>
      </c>
      <c r="AU262" s="176">
        <f t="shared" si="215"/>
        <v>-0.28055540591430084</v>
      </c>
      <c r="AV262" s="176">
        <f t="shared" si="216"/>
        <v>0.48777783763427957</v>
      </c>
    </row>
    <row r="263" spans="1:48" x14ac:dyDescent="0.25">
      <c r="A263" s="7" t="s">
        <v>472</v>
      </c>
      <c r="B263" s="8" t="s">
        <v>473</v>
      </c>
      <c r="C263" s="9">
        <f t="shared" ref="C263:N263" si="273">SUM(C264:C264)</f>
        <v>2500000</v>
      </c>
      <c r="D263" s="9">
        <f t="shared" si="273"/>
        <v>2500000</v>
      </c>
      <c r="E263" s="9">
        <f t="shared" si="273"/>
        <v>2500000</v>
      </c>
      <c r="F263" s="9">
        <f t="shared" si="273"/>
        <v>2500000</v>
      </c>
      <c r="G263" s="9">
        <f t="shared" si="273"/>
        <v>2500000</v>
      </c>
      <c r="H263" s="9">
        <f t="shared" si="273"/>
        <v>2500000</v>
      </c>
      <c r="I263" s="9">
        <f t="shared" si="273"/>
        <v>2500000</v>
      </c>
      <c r="J263" s="9">
        <f t="shared" si="273"/>
        <v>2500000</v>
      </c>
      <c r="K263" s="9">
        <f t="shared" si="273"/>
        <v>2500000</v>
      </c>
      <c r="L263" s="9">
        <f t="shared" si="273"/>
        <v>2500000</v>
      </c>
      <c r="M263" s="9">
        <f t="shared" si="273"/>
        <v>2500000</v>
      </c>
      <c r="N263" s="9">
        <f t="shared" si="273"/>
        <v>2500000</v>
      </c>
      <c r="O263" s="9">
        <f t="shared" si="220"/>
        <v>10000000</v>
      </c>
      <c r="P263" s="9">
        <f t="shared" si="264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f t="shared" ref="W263" si="274">+W264</f>
        <v>0</v>
      </c>
      <c r="X263" s="9"/>
      <c r="Y263" s="9"/>
      <c r="Z263" s="9"/>
      <c r="AA263" s="9"/>
      <c r="AB263" s="9"/>
      <c r="AC263" s="9"/>
      <c r="AD263" s="9"/>
      <c r="AE263" s="9"/>
      <c r="AF263" s="9">
        <f t="shared" si="271"/>
        <v>2000000</v>
      </c>
      <c r="AG263" s="9">
        <f t="shared" si="272"/>
        <v>2000000</v>
      </c>
      <c r="AI263" s="175">
        <f t="shared" si="219"/>
        <v>0.2</v>
      </c>
      <c r="AJ263" s="175">
        <f t="shared" si="204"/>
        <v>1</v>
      </c>
      <c r="AK263" s="175">
        <f t="shared" si="205"/>
        <v>1</v>
      </c>
      <c r="AL263" s="175">
        <f t="shared" si="206"/>
        <v>1</v>
      </c>
      <c r="AM263" s="175">
        <f t="shared" si="207"/>
        <v>1</v>
      </c>
      <c r="AN263" s="175">
        <f t="shared" si="208"/>
        <v>1</v>
      </c>
      <c r="AO263" s="175">
        <f t="shared" si="209"/>
        <v>1</v>
      </c>
      <c r="AP263" s="175">
        <f t="shared" si="210"/>
        <v>1</v>
      </c>
      <c r="AQ263" s="175">
        <f t="shared" si="211"/>
        <v>1</v>
      </c>
      <c r="AR263" s="175">
        <f t="shared" si="212"/>
        <v>1</v>
      </c>
      <c r="AS263" s="175">
        <f t="shared" si="213"/>
        <v>1</v>
      </c>
      <c r="AT263" s="175">
        <f t="shared" si="214"/>
        <v>1</v>
      </c>
      <c r="AU263" s="175">
        <f t="shared" si="215"/>
        <v>0.8</v>
      </c>
      <c r="AV263" s="175">
        <f t="shared" si="216"/>
        <v>0.93333333333333335</v>
      </c>
    </row>
    <row r="264" spans="1:48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220"/>
        <v>10000000</v>
      </c>
      <c r="P264" s="21">
        <f t="shared" si="264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61">
        <v>0</v>
      </c>
      <c r="X264" s="21"/>
      <c r="Y264" s="21"/>
      <c r="Z264" s="21"/>
      <c r="AA264" s="21"/>
      <c r="AB264" s="21"/>
      <c r="AC264" s="21"/>
      <c r="AD264" s="21"/>
      <c r="AE264" s="21"/>
      <c r="AF264" s="261">
        <f t="shared" si="271"/>
        <v>2000000</v>
      </c>
      <c r="AG264" s="21">
        <f t="shared" si="272"/>
        <v>2000000</v>
      </c>
      <c r="AI264" s="176">
        <f t="shared" si="219"/>
        <v>0.2</v>
      </c>
      <c r="AJ264" s="176">
        <f t="shared" ref="AJ264:AJ329" si="275">(D264-U264)/D264</f>
        <v>1</v>
      </c>
      <c r="AK264" s="176">
        <f t="shared" ref="AK264:AK329" si="276">(E264-V264)/E264</f>
        <v>1</v>
      </c>
      <c r="AL264" s="176">
        <f t="shared" ref="AL264:AL329" si="277">(F264-W264)/F264</f>
        <v>1</v>
      </c>
      <c r="AM264" s="176">
        <f t="shared" ref="AM264:AM329" si="278">(G264-X264)/G264</f>
        <v>1</v>
      </c>
      <c r="AN264" s="176">
        <f t="shared" ref="AN264:AN329" si="279">(H264-Y264)/H264</f>
        <v>1</v>
      </c>
      <c r="AO264" s="176">
        <f t="shared" ref="AO264:AO329" si="280">(I264-Z264)/I264</f>
        <v>1</v>
      </c>
      <c r="AP264" s="176">
        <f t="shared" ref="AP264:AP329" si="281">(J264-AA264)/J264</f>
        <v>1</v>
      </c>
      <c r="AQ264" s="176">
        <f t="shared" ref="AQ264:AQ329" si="282">(K264-AB264)/K264</f>
        <v>1</v>
      </c>
      <c r="AR264" s="176">
        <f t="shared" ref="AR264:AR329" si="283">(L264-AC264)/L264</f>
        <v>1</v>
      </c>
      <c r="AS264" s="176">
        <f t="shared" ref="AS264:AS329" si="284">(M264-AD264)/M264</f>
        <v>1</v>
      </c>
      <c r="AT264" s="176">
        <f t="shared" ref="AT264:AT329" si="285">(N264-AE264)/N264</f>
        <v>1</v>
      </c>
      <c r="AU264" s="176">
        <f t="shared" ref="AU264:AU329" si="286">(O264-AF264)/O264</f>
        <v>0.8</v>
      </c>
      <c r="AV264" s="176">
        <f t="shared" ref="AV264:AV329" si="287">(P264-AG264)/P264</f>
        <v>0.93333333333333335</v>
      </c>
    </row>
    <row r="265" spans="1:48" x14ac:dyDescent="0.25">
      <c r="A265" s="7" t="s">
        <v>476</v>
      </c>
      <c r="B265" s="8" t="s">
        <v>755</v>
      </c>
      <c r="C265" s="9">
        <f t="shared" ref="C265:N265" si="288">SUM(C266:C266)</f>
        <v>5249883</v>
      </c>
      <c r="D265" s="9">
        <f t="shared" si="288"/>
        <v>22760611</v>
      </c>
      <c r="E265" s="9">
        <f t="shared" si="288"/>
        <v>12760611</v>
      </c>
      <c r="F265" s="9">
        <f t="shared" si="288"/>
        <v>7810611</v>
      </c>
      <c r="G265" s="9">
        <f t="shared" si="288"/>
        <v>6260611</v>
      </c>
      <c r="H265" s="9">
        <f t="shared" si="288"/>
        <v>26260611</v>
      </c>
      <c r="I265" s="9">
        <f t="shared" si="288"/>
        <v>7760611</v>
      </c>
      <c r="J265" s="9">
        <f t="shared" si="288"/>
        <v>13760611</v>
      </c>
      <c r="K265" s="9">
        <f t="shared" si="288"/>
        <v>6810611</v>
      </c>
      <c r="L265" s="9">
        <f t="shared" si="288"/>
        <v>6260611</v>
      </c>
      <c r="M265" s="9">
        <f t="shared" si="288"/>
        <v>5010728</v>
      </c>
      <c r="N265" s="9">
        <f t="shared" si="288"/>
        <v>4000000</v>
      </c>
      <c r="O265" s="9">
        <f t="shared" si="220"/>
        <v>48581716</v>
      </c>
      <c r="P265" s="9">
        <f t="shared" si="264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f t="shared" ref="W265" si="289">+W266</f>
        <v>50241575.759999998</v>
      </c>
      <c r="X265" s="9"/>
      <c r="Y265" s="9"/>
      <c r="Z265" s="9"/>
      <c r="AA265" s="9"/>
      <c r="AB265" s="9"/>
      <c r="AC265" s="9"/>
      <c r="AD265" s="9"/>
      <c r="AE265" s="9"/>
      <c r="AF265" s="9">
        <f t="shared" si="271"/>
        <v>205148371</v>
      </c>
      <c r="AG265" s="9">
        <f t="shared" si="272"/>
        <v>205148371</v>
      </c>
      <c r="AI265" s="175">
        <f t="shared" ref="AI265:AI330" si="290">(C265-T265)/C265</f>
        <v>-20.872386679855531</v>
      </c>
      <c r="AJ265" s="175">
        <f t="shared" si="275"/>
        <v>1</v>
      </c>
      <c r="AK265" s="175">
        <f t="shared" si="276"/>
        <v>-2.1408624743752473</v>
      </c>
      <c r="AL265" s="175">
        <f t="shared" si="277"/>
        <v>-5.4324770187633202</v>
      </c>
      <c r="AM265" s="175">
        <f t="shared" si="278"/>
        <v>1</v>
      </c>
      <c r="AN265" s="175">
        <f t="shared" si="279"/>
        <v>1</v>
      </c>
      <c r="AO265" s="175">
        <f t="shared" si="280"/>
        <v>1</v>
      </c>
      <c r="AP265" s="175">
        <f t="shared" si="281"/>
        <v>1</v>
      </c>
      <c r="AQ265" s="175">
        <f t="shared" si="282"/>
        <v>1</v>
      </c>
      <c r="AR265" s="175">
        <f t="shared" si="283"/>
        <v>1</v>
      </c>
      <c r="AS265" s="175">
        <f t="shared" si="284"/>
        <v>1</v>
      </c>
      <c r="AT265" s="175">
        <f t="shared" si="285"/>
        <v>1</v>
      </c>
      <c r="AU265" s="175">
        <f t="shared" si="286"/>
        <v>-3.2227485542091596</v>
      </c>
      <c r="AV265" s="175">
        <f t="shared" si="287"/>
        <v>-0.64505468898035545</v>
      </c>
    </row>
    <row r="266" spans="1:48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220"/>
        <v>48581716</v>
      </c>
      <c r="P266" s="21">
        <f t="shared" si="264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61">
        <v>50241575.759999998</v>
      </c>
      <c r="X266" s="21"/>
      <c r="Y266" s="21"/>
      <c r="Z266" s="21"/>
      <c r="AA266" s="21"/>
      <c r="AB266" s="21"/>
      <c r="AC266" s="21"/>
      <c r="AD266" s="21"/>
      <c r="AE266" s="21"/>
      <c r="AF266" s="261">
        <f t="shared" si="271"/>
        <v>205148371</v>
      </c>
      <c r="AG266" s="21">
        <f t="shared" si="272"/>
        <v>205148371</v>
      </c>
      <c r="AI266" s="176">
        <f t="shared" si="290"/>
        <v>-20.872386679855531</v>
      </c>
      <c r="AJ266" s="176">
        <f t="shared" si="275"/>
        <v>1</v>
      </c>
      <c r="AK266" s="176">
        <f t="shared" si="276"/>
        <v>-2.1408624743752473</v>
      </c>
      <c r="AL266" s="176">
        <f t="shared" si="277"/>
        <v>-5.4324770187633202</v>
      </c>
      <c r="AM266" s="176">
        <f t="shared" si="278"/>
        <v>1</v>
      </c>
      <c r="AN266" s="176">
        <f t="shared" si="279"/>
        <v>1</v>
      </c>
      <c r="AO266" s="176">
        <f t="shared" si="280"/>
        <v>1</v>
      </c>
      <c r="AP266" s="176">
        <f t="shared" si="281"/>
        <v>1</v>
      </c>
      <c r="AQ266" s="176">
        <f t="shared" si="282"/>
        <v>1</v>
      </c>
      <c r="AR266" s="176">
        <f t="shared" si="283"/>
        <v>1</v>
      </c>
      <c r="AS266" s="176">
        <f t="shared" si="284"/>
        <v>1</v>
      </c>
      <c r="AT266" s="176">
        <f t="shared" si="285"/>
        <v>1</v>
      </c>
      <c r="AU266" s="176">
        <f t="shared" si="286"/>
        <v>-3.2227485542091596</v>
      </c>
      <c r="AV266" s="176">
        <f t="shared" si="287"/>
        <v>-0.64505468898035545</v>
      </c>
    </row>
    <row r="267" spans="1:48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291">+D268+D272</f>
        <v>31587816.606075</v>
      </c>
      <c r="E267" s="9">
        <f t="shared" si="291"/>
        <v>69797771.606075004</v>
      </c>
      <c r="F267" s="9">
        <f t="shared" si="291"/>
        <v>35227225.606075004</v>
      </c>
      <c r="G267" s="9">
        <f t="shared" si="291"/>
        <v>15432333.606075002</v>
      </c>
      <c r="H267" s="9">
        <f t="shared" si="291"/>
        <v>5432333.6060750019</v>
      </c>
      <c r="I267" s="9">
        <f t="shared" si="291"/>
        <v>14432333.606075002</v>
      </c>
      <c r="J267" s="9">
        <f t="shared" si="291"/>
        <v>10432333.606075002</v>
      </c>
      <c r="K267" s="9">
        <f t="shared" si="291"/>
        <v>21432333.606075</v>
      </c>
      <c r="L267" s="9">
        <f t="shared" si="291"/>
        <v>11432333.606075002</v>
      </c>
      <c r="M267" s="9">
        <f t="shared" si="291"/>
        <v>3863786.6060750014</v>
      </c>
      <c r="N267" s="9">
        <f t="shared" si="291"/>
        <v>3863786.6060750014</v>
      </c>
      <c r="O267" s="9">
        <f t="shared" ref="O267:O330" si="292">+C267+D267+E267+F267</f>
        <v>188491845.42430001</v>
      </c>
      <c r="P267" s="9">
        <f t="shared" si="291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f t="shared" ref="W267" si="293">+W268+W272+W275</f>
        <v>28040000</v>
      </c>
      <c r="X267" s="9"/>
      <c r="Y267" s="9"/>
      <c r="Z267" s="9"/>
      <c r="AA267" s="9"/>
      <c r="AB267" s="9"/>
      <c r="AC267" s="9"/>
      <c r="AD267" s="9"/>
      <c r="AE267" s="9"/>
      <c r="AF267" s="9">
        <f t="shared" si="271"/>
        <v>125911135</v>
      </c>
      <c r="AG267" s="9">
        <f t="shared" si="272"/>
        <v>125911135</v>
      </c>
      <c r="AI267" s="175">
        <f t="shared" si="290"/>
        <v>-0.18941776840673105</v>
      </c>
      <c r="AJ267" s="175">
        <f t="shared" si="275"/>
        <v>0.56459975782704319</v>
      </c>
      <c r="AK267" s="175">
        <f t="shared" si="276"/>
        <v>0.67890163991927033</v>
      </c>
      <c r="AL267" s="175">
        <f t="shared" si="277"/>
        <v>0.20402474172804436</v>
      </c>
      <c r="AM267" s="175">
        <f t="shared" si="278"/>
        <v>1</v>
      </c>
      <c r="AN267" s="175">
        <f t="shared" si="279"/>
        <v>1</v>
      </c>
      <c r="AO267" s="175">
        <f t="shared" si="280"/>
        <v>1</v>
      </c>
      <c r="AP267" s="175">
        <f t="shared" si="281"/>
        <v>1</v>
      </c>
      <c r="AQ267" s="175">
        <f t="shared" si="282"/>
        <v>1</v>
      </c>
      <c r="AR267" s="175">
        <f t="shared" si="283"/>
        <v>1</v>
      </c>
      <c r="AS267" s="175">
        <f t="shared" si="284"/>
        <v>1</v>
      </c>
      <c r="AT267" s="175">
        <f t="shared" si="285"/>
        <v>1</v>
      </c>
      <c r="AU267" s="175">
        <f t="shared" si="286"/>
        <v>0.33200752151070101</v>
      </c>
      <c r="AV267" s="175">
        <f t="shared" si="287"/>
        <v>0.54183047219831726</v>
      </c>
    </row>
    <row r="268" spans="1:48" x14ac:dyDescent="0.25">
      <c r="A268" s="7" t="s">
        <v>482</v>
      </c>
      <c r="B268" s="8" t="s">
        <v>483</v>
      </c>
      <c r="C268" s="9">
        <f t="shared" ref="C268:N268" si="294">SUM(C269:C271)</f>
        <v>47696581</v>
      </c>
      <c r="D268" s="9">
        <f t="shared" si="294"/>
        <v>27405366</v>
      </c>
      <c r="E268" s="9">
        <f t="shared" si="294"/>
        <v>65615321</v>
      </c>
      <c r="F268" s="9">
        <f t="shared" si="294"/>
        <v>31044775</v>
      </c>
      <c r="G268" s="9">
        <f t="shared" si="294"/>
        <v>11249883</v>
      </c>
      <c r="H268" s="9">
        <f t="shared" si="294"/>
        <v>1249883</v>
      </c>
      <c r="I268" s="9">
        <f t="shared" si="294"/>
        <v>10249883</v>
      </c>
      <c r="J268" s="9">
        <f t="shared" si="294"/>
        <v>6249883</v>
      </c>
      <c r="K268" s="9">
        <f t="shared" si="294"/>
        <v>17249883</v>
      </c>
      <c r="L268" s="9">
        <f t="shared" si="294"/>
        <v>7249883</v>
      </c>
      <c r="M268" s="9">
        <f t="shared" si="294"/>
        <v>0</v>
      </c>
      <c r="N268" s="9">
        <f t="shared" si="294"/>
        <v>0</v>
      </c>
      <c r="O268" s="9">
        <f t="shared" si="292"/>
        <v>171762043</v>
      </c>
      <c r="P268" s="9">
        <f t="shared" ref="P268:P278" si="295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f t="shared" ref="W268" si="296">+W269+W270+W271</f>
        <v>28040000</v>
      </c>
      <c r="X268" s="9"/>
      <c r="Y268" s="9"/>
      <c r="Z268" s="9"/>
      <c r="AA268" s="9"/>
      <c r="AB268" s="9"/>
      <c r="AC268" s="9"/>
      <c r="AD268" s="9"/>
      <c r="AE268" s="9"/>
      <c r="AF268" s="9">
        <f t="shared" si="271"/>
        <v>101780593</v>
      </c>
      <c r="AG268" s="9">
        <f t="shared" si="272"/>
        <v>101780593</v>
      </c>
      <c r="AI268" s="175">
        <f t="shared" si="290"/>
        <v>0.20695992863723292</v>
      </c>
      <c r="AJ268" s="175">
        <f t="shared" si="275"/>
        <v>0.50727375799323393</v>
      </c>
      <c r="AK268" s="175">
        <f t="shared" si="276"/>
        <v>0.6584341940505023</v>
      </c>
      <c r="AL268" s="175">
        <f t="shared" si="277"/>
        <v>9.6788428970736626E-2</v>
      </c>
      <c r="AM268" s="175">
        <f t="shared" si="278"/>
        <v>1</v>
      </c>
      <c r="AN268" s="175">
        <f t="shared" si="279"/>
        <v>1</v>
      </c>
      <c r="AO268" s="175">
        <f t="shared" si="280"/>
        <v>1</v>
      </c>
      <c r="AP268" s="175">
        <f t="shared" si="281"/>
        <v>1</v>
      </c>
      <c r="AQ268" s="175">
        <f t="shared" si="282"/>
        <v>1</v>
      </c>
      <c r="AR268" s="175">
        <f t="shared" si="283"/>
        <v>1</v>
      </c>
      <c r="AS268" s="175" t="e">
        <f t="shared" si="284"/>
        <v>#DIV/0!</v>
      </c>
      <c r="AT268" s="175" t="e">
        <f t="shared" si="285"/>
        <v>#DIV/0!</v>
      </c>
      <c r="AU268" s="175">
        <f t="shared" si="286"/>
        <v>0.40743256646056547</v>
      </c>
      <c r="AV268" s="175">
        <f t="shared" si="287"/>
        <v>0.54816662038782771</v>
      </c>
    </row>
    <row r="269" spans="1:48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292"/>
        <v>20000000</v>
      </c>
      <c r="P269" s="21">
        <f t="shared" si="295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61">
        <v>4830000</v>
      </c>
      <c r="X269" s="21"/>
      <c r="Y269" s="21"/>
      <c r="Z269" s="21"/>
      <c r="AA269" s="21"/>
      <c r="AB269" s="21"/>
      <c r="AC269" s="21"/>
      <c r="AD269" s="21"/>
      <c r="AE269" s="21"/>
      <c r="AF269" s="261">
        <f t="shared" si="271"/>
        <v>20930000</v>
      </c>
      <c r="AG269" s="21">
        <f t="shared" si="272"/>
        <v>20930000</v>
      </c>
      <c r="AI269" s="176">
        <f t="shared" si="290"/>
        <v>3.4000000000000002E-2</v>
      </c>
      <c r="AJ269" s="176" t="e">
        <f t="shared" si="275"/>
        <v>#DIV/0!</v>
      </c>
      <c r="AK269" s="176">
        <f t="shared" si="276"/>
        <v>0.67800000000000005</v>
      </c>
      <c r="AL269" s="176" t="e">
        <f t="shared" si="277"/>
        <v>#DIV/0!</v>
      </c>
      <c r="AM269" s="176">
        <f t="shared" si="278"/>
        <v>1</v>
      </c>
      <c r="AN269" s="176" t="e">
        <f t="shared" si="279"/>
        <v>#DIV/0!</v>
      </c>
      <c r="AO269" s="176">
        <f t="shared" si="280"/>
        <v>1</v>
      </c>
      <c r="AP269" s="176" t="e">
        <f t="shared" si="281"/>
        <v>#DIV/0!</v>
      </c>
      <c r="AQ269" s="176">
        <f t="shared" si="282"/>
        <v>1</v>
      </c>
      <c r="AR269" s="176" t="e">
        <f t="shared" si="283"/>
        <v>#DIV/0!</v>
      </c>
      <c r="AS269" s="176" t="e">
        <f t="shared" si="284"/>
        <v>#DIV/0!</v>
      </c>
      <c r="AT269" s="176" t="e">
        <f t="shared" si="285"/>
        <v>#DIV/0!</v>
      </c>
      <c r="AU269" s="176">
        <f t="shared" si="286"/>
        <v>-4.65E-2</v>
      </c>
      <c r="AV269" s="176">
        <f t="shared" si="287"/>
        <v>0.47675000000000001</v>
      </c>
    </row>
    <row r="270" spans="1:48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292"/>
        <v>90261341</v>
      </c>
      <c r="P270" s="21">
        <f t="shared" si="295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61">
        <v>12600000</v>
      </c>
      <c r="X270" s="21"/>
      <c r="Y270" s="21"/>
      <c r="Z270" s="21"/>
      <c r="AA270" s="21"/>
      <c r="AB270" s="21"/>
      <c r="AC270" s="21"/>
      <c r="AD270" s="21"/>
      <c r="AE270" s="21"/>
      <c r="AF270" s="261">
        <f t="shared" si="271"/>
        <v>47700000</v>
      </c>
      <c r="AG270" s="21">
        <f t="shared" si="272"/>
        <v>47700000</v>
      </c>
      <c r="AI270" s="176">
        <f t="shared" si="290"/>
        <v>0.3118077765950642</v>
      </c>
      <c r="AJ270" s="176">
        <f t="shared" si="275"/>
        <v>1</v>
      </c>
      <c r="AK270" s="176">
        <f t="shared" si="276"/>
        <v>0.34621738776531102</v>
      </c>
      <c r="AL270" s="176">
        <f t="shared" si="277"/>
        <v>-6.8259039591036533E-2</v>
      </c>
      <c r="AM270" s="176" t="e">
        <f t="shared" si="278"/>
        <v>#DIV/0!</v>
      </c>
      <c r="AN270" s="176" t="e">
        <f t="shared" si="279"/>
        <v>#DIV/0!</v>
      </c>
      <c r="AO270" s="176" t="e">
        <f t="shared" si="280"/>
        <v>#DIV/0!</v>
      </c>
      <c r="AP270" s="176" t="e">
        <f t="shared" si="281"/>
        <v>#DIV/0!</v>
      </c>
      <c r="AQ270" s="176" t="e">
        <f t="shared" si="282"/>
        <v>#DIV/0!</v>
      </c>
      <c r="AR270" s="176" t="e">
        <f t="shared" si="283"/>
        <v>#DIV/0!</v>
      </c>
      <c r="AS270" s="176" t="e">
        <f t="shared" si="284"/>
        <v>#DIV/0!</v>
      </c>
      <c r="AT270" s="176" t="e">
        <f t="shared" si="285"/>
        <v>#DIV/0!</v>
      </c>
      <c r="AU270" s="176">
        <f t="shared" si="286"/>
        <v>0.47153455209578593</v>
      </c>
      <c r="AV270" s="176">
        <f t="shared" si="287"/>
        <v>0.47153455209578593</v>
      </c>
    </row>
    <row r="271" spans="1:48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292"/>
        <v>61500702</v>
      </c>
      <c r="P271" s="21">
        <f t="shared" si="295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61">
        <v>10610000</v>
      </c>
      <c r="X271" s="21"/>
      <c r="Y271" s="21"/>
      <c r="Z271" s="21"/>
      <c r="AA271" s="21"/>
      <c r="AB271" s="21"/>
      <c r="AC271" s="21"/>
      <c r="AD271" s="21"/>
      <c r="AE271" s="21"/>
      <c r="AF271" s="261">
        <f t="shared" si="271"/>
        <v>33150593</v>
      </c>
      <c r="AG271" s="21">
        <f t="shared" si="272"/>
        <v>33150593</v>
      </c>
      <c r="AI271" s="176">
        <f t="shared" si="290"/>
        <v>0.11920858829896427</v>
      </c>
      <c r="AJ271" s="176">
        <f t="shared" si="275"/>
        <v>-7.227444488804152</v>
      </c>
      <c r="AK271" s="176">
        <f t="shared" si="276"/>
        <v>0.92898976565994695</v>
      </c>
      <c r="AL271" s="176">
        <f t="shared" si="277"/>
        <v>0.44882781884960027</v>
      </c>
      <c r="AM271" s="176">
        <f t="shared" si="278"/>
        <v>1</v>
      </c>
      <c r="AN271" s="176">
        <f t="shared" si="279"/>
        <v>1</v>
      </c>
      <c r="AO271" s="176">
        <f t="shared" si="280"/>
        <v>1</v>
      </c>
      <c r="AP271" s="176">
        <f t="shared" si="281"/>
        <v>1</v>
      </c>
      <c r="AQ271" s="176">
        <f t="shared" si="282"/>
        <v>1</v>
      </c>
      <c r="AR271" s="176">
        <f t="shared" si="283"/>
        <v>1</v>
      </c>
      <c r="AS271" s="176" t="e">
        <f t="shared" si="284"/>
        <v>#DIV/0!</v>
      </c>
      <c r="AT271" s="176" t="e">
        <f t="shared" si="285"/>
        <v>#DIV/0!</v>
      </c>
      <c r="AU271" s="176">
        <f t="shared" si="286"/>
        <v>0.46097212028571644</v>
      </c>
      <c r="AV271" s="176">
        <f t="shared" si="287"/>
        <v>0.65104638947368421</v>
      </c>
    </row>
    <row r="272" spans="1:48" x14ac:dyDescent="0.25">
      <c r="A272" s="7" t="s">
        <v>490</v>
      </c>
      <c r="B272" s="8" t="s">
        <v>758</v>
      </c>
      <c r="C272" s="9">
        <f t="shared" ref="C272:N272" si="297">SUM(C273:C274)</f>
        <v>4182450.6060750014</v>
      </c>
      <c r="D272" s="9">
        <f t="shared" si="297"/>
        <v>4182450.6060750014</v>
      </c>
      <c r="E272" s="9">
        <f t="shared" si="297"/>
        <v>4182450.6060750014</v>
      </c>
      <c r="F272" s="9">
        <f t="shared" si="297"/>
        <v>4182450.6060750014</v>
      </c>
      <c r="G272" s="9">
        <f t="shared" si="297"/>
        <v>4182450.6060750014</v>
      </c>
      <c r="H272" s="9">
        <f t="shared" si="297"/>
        <v>4182450.6060750014</v>
      </c>
      <c r="I272" s="9">
        <f t="shared" si="297"/>
        <v>4182450.6060750014</v>
      </c>
      <c r="J272" s="9">
        <f t="shared" si="297"/>
        <v>4182450.6060750014</v>
      </c>
      <c r="K272" s="9">
        <f t="shared" si="297"/>
        <v>4182450.6060750014</v>
      </c>
      <c r="L272" s="9">
        <f t="shared" si="297"/>
        <v>4182450.6060750014</v>
      </c>
      <c r="M272" s="9">
        <f t="shared" si="297"/>
        <v>3863786.6060750014</v>
      </c>
      <c r="N272" s="9">
        <f t="shared" si="297"/>
        <v>3863786.6060750014</v>
      </c>
      <c r="O272" s="9">
        <f t="shared" si="292"/>
        <v>16729802.424300006</v>
      </c>
      <c r="P272" s="9">
        <f t="shared" si="295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f t="shared" ref="W272" si="298">+W273+W274</f>
        <v>0</v>
      </c>
      <c r="X272" s="9"/>
      <c r="Y272" s="9"/>
      <c r="Z272" s="9"/>
      <c r="AA272" s="9"/>
      <c r="AB272" s="9"/>
      <c r="AC272" s="9"/>
      <c r="AD272" s="9"/>
      <c r="AE272" s="9"/>
      <c r="AF272" s="9">
        <f t="shared" si="271"/>
        <v>24130542</v>
      </c>
      <c r="AG272" s="9">
        <f t="shared" si="272"/>
        <v>24130542</v>
      </c>
      <c r="AI272" s="175">
        <f t="shared" si="290"/>
        <v>-4.7097009024598071</v>
      </c>
      <c r="AJ272" s="175">
        <f t="shared" si="275"/>
        <v>0.94022643097401426</v>
      </c>
      <c r="AK272" s="175">
        <f t="shared" si="276"/>
        <v>1</v>
      </c>
      <c r="AL272" s="175">
        <f t="shared" si="277"/>
        <v>1</v>
      </c>
      <c r="AM272" s="175">
        <f t="shared" si="278"/>
        <v>1</v>
      </c>
      <c r="AN272" s="175">
        <f t="shared" si="279"/>
        <v>1</v>
      </c>
      <c r="AO272" s="175">
        <f t="shared" si="280"/>
        <v>1</v>
      </c>
      <c r="AP272" s="175">
        <f t="shared" si="281"/>
        <v>1</v>
      </c>
      <c r="AQ272" s="175">
        <f t="shared" si="282"/>
        <v>1</v>
      </c>
      <c r="AR272" s="175">
        <f t="shared" si="283"/>
        <v>1</v>
      </c>
      <c r="AS272" s="175">
        <f t="shared" si="284"/>
        <v>1</v>
      </c>
      <c r="AT272" s="175">
        <f t="shared" si="285"/>
        <v>1</v>
      </c>
      <c r="AU272" s="175">
        <f t="shared" si="286"/>
        <v>-0.44236861787144804</v>
      </c>
      <c r="AV272" s="175">
        <f t="shared" si="287"/>
        <v>0.51302665086756583</v>
      </c>
    </row>
    <row r="273" spans="1:49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292"/>
        <v>1274656</v>
      </c>
      <c r="P273" s="21">
        <f t="shared" si="295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61">
        <v>0</v>
      </c>
      <c r="X273" s="21"/>
      <c r="Y273" s="21"/>
      <c r="Z273" s="21"/>
      <c r="AA273" s="21"/>
      <c r="AB273" s="21"/>
      <c r="AC273" s="21"/>
      <c r="AD273" s="21"/>
      <c r="AE273" s="21"/>
      <c r="AF273" s="261">
        <f t="shared" si="271"/>
        <v>750000</v>
      </c>
      <c r="AG273" s="21">
        <f t="shared" si="272"/>
        <v>750000</v>
      </c>
      <c r="AI273" s="176">
        <f t="shared" si="290"/>
        <v>-0.56905078703587475</v>
      </c>
      <c r="AJ273" s="176">
        <f t="shared" si="275"/>
        <v>0.21547460648206263</v>
      </c>
      <c r="AK273" s="176">
        <f t="shared" si="276"/>
        <v>1</v>
      </c>
      <c r="AL273" s="176">
        <f t="shared" si="277"/>
        <v>1</v>
      </c>
      <c r="AM273" s="176">
        <f t="shared" si="278"/>
        <v>1</v>
      </c>
      <c r="AN273" s="176">
        <f t="shared" si="279"/>
        <v>1</v>
      </c>
      <c r="AO273" s="176">
        <f t="shared" si="280"/>
        <v>1</v>
      </c>
      <c r="AP273" s="176">
        <f t="shared" si="281"/>
        <v>1</v>
      </c>
      <c r="AQ273" s="176">
        <f t="shared" si="282"/>
        <v>1</v>
      </c>
      <c r="AR273" s="176">
        <f t="shared" si="283"/>
        <v>1</v>
      </c>
      <c r="AS273" s="176" t="e">
        <f t="shared" si="284"/>
        <v>#DIV/0!</v>
      </c>
      <c r="AT273" s="176" t="e">
        <f t="shared" si="285"/>
        <v>#DIV/0!</v>
      </c>
      <c r="AU273" s="176">
        <f t="shared" si="286"/>
        <v>0.41160595486154694</v>
      </c>
      <c r="AV273" s="176">
        <f t="shared" si="287"/>
        <v>0.76464238194461875</v>
      </c>
    </row>
    <row r="274" spans="1:49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292"/>
        <v>15455146.424300006</v>
      </c>
      <c r="P274" s="21">
        <f t="shared" si="295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61">
        <v>0</v>
      </c>
      <c r="X274" s="21"/>
      <c r="Y274" s="21"/>
      <c r="Z274" s="21"/>
      <c r="AA274" s="21"/>
      <c r="AB274" s="21"/>
      <c r="AC274" s="21"/>
      <c r="AD274" s="21"/>
      <c r="AE274" s="21"/>
      <c r="AF274" s="261">
        <f t="shared" si="271"/>
        <v>23380542</v>
      </c>
      <c r="AG274" s="21">
        <f t="shared" si="272"/>
        <v>23380542</v>
      </c>
      <c r="AI274" s="176">
        <f t="shared" si="290"/>
        <v>-5.0511990913884732</v>
      </c>
      <c r="AJ274" s="176">
        <f t="shared" si="275"/>
        <v>1</v>
      </c>
      <c r="AK274" s="176">
        <f t="shared" si="276"/>
        <v>1</v>
      </c>
      <c r="AL274" s="176">
        <f t="shared" si="277"/>
        <v>1</v>
      </c>
      <c r="AM274" s="176">
        <f t="shared" si="278"/>
        <v>1</v>
      </c>
      <c r="AN274" s="176">
        <f t="shared" si="279"/>
        <v>1</v>
      </c>
      <c r="AO274" s="176">
        <f t="shared" si="280"/>
        <v>1</v>
      </c>
      <c r="AP274" s="176">
        <f t="shared" si="281"/>
        <v>1</v>
      </c>
      <c r="AQ274" s="176">
        <f t="shared" si="282"/>
        <v>1</v>
      </c>
      <c r="AR274" s="176">
        <f t="shared" si="283"/>
        <v>1</v>
      </c>
      <c r="AS274" s="176">
        <f t="shared" si="284"/>
        <v>1</v>
      </c>
      <c r="AT274" s="176">
        <f t="shared" si="285"/>
        <v>1</v>
      </c>
      <c r="AU274" s="176">
        <f t="shared" si="286"/>
        <v>-0.5127997728471182</v>
      </c>
      <c r="AV274" s="176">
        <f t="shared" si="287"/>
        <v>0.49573340905096064</v>
      </c>
    </row>
    <row r="275" spans="1:49" x14ac:dyDescent="0.25">
      <c r="A275" s="7" t="s">
        <v>1177</v>
      </c>
      <c r="B275" s="8" t="s">
        <v>1178</v>
      </c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>
        <f t="shared" si="292"/>
        <v>0</v>
      </c>
      <c r="P275" s="227"/>
      <c r="R275" s="2"/>
      <c r="S275" s="226"/>
      <c r="T275" s="227"/>
      <c r="U275" s="227">
        <v>31309148</v>
      </c>
      <c r="V275" s="227">
        <v>0</v>
      </c>
      <c r="W275" s="9">
        <f t="shared" ref="W275" si="299">+W276</f>
        <v>0</v>
      </c>
      <c r="X275" s="227"/>
      <c r="Y275" s="227"/>
      <c r="Z275" s="227"/>
      <c r="AA275" s="227"/>
      <c r="AB275" s="227"/>
      <c r="AC275" s="227"/>
      <c r="AD275" s="227"/>
      <c r="AE275" s="227"/>
      <c r="AF275" s="9">
        <f t="shared" si="271"/>
        <v>31309148</v>
      </c>
      <c r="AG275" s="227">
        <f t="shared" si="272"/>
        <v>31309148</v>
      </c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81"/>
    </row>
    <row r="276" spans="1:49" x14ac:dyDescent="0.25">
      <c r="A276" s="183" t="s">
        <v>1179</v>
      </c>
      <c r="B276" s="226" t="s">
        <v>1180</v>
      </c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>
        <f t="shared" si="292"/>
        <v>0</v>
      </c>
      <c r="P276" s="227"/>
      <c r="R276" s="2"/>
      <c r="S276" s="226"/>
      <c r="T276" s="227"/>
      <c r="U276" s="227">
        <v>31309148</v>
      </c>
      <c r="V276" s="227">
        <v>0</v>
      </c>
      <c r="W276" s="261">
        <v>0</v>
      </c>
      <c r="X276" s="227"/>
      <c r="Y276" s="227"/>
      <c r="Z276" s="227"/>
      <c r="AA276" s="227"/>
      <c r="AB276" s="227"/>
      <c r="AC276" s="227"/>
      <c r="AD276" s="227"/>
      <c r="AE276" s="227"/>
      <c r="AF276" s="261">
        <f t="shared" si="271"/>
        <v>31309148</v>
      </c>
      <c r="AG276" s="227">
        <f t="shared" si="272"/>
        <v>31309148</v>
      </c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81"/>
    </row>
    <row r="277" spans="1:49" x14ac:dyDescent="0.25">
      <c r="A277" s="7" t="s">
        <v>496</v>
      </c>
      <c r="B277" s="8" t="s">
        <v>91</v>
      </c>
      <c r="C277" s="9">
        <f t="shared" ref="C277:N277" si="300">+C278</f>
        <v>15007031.412586661</v>
      </c>
      <c r="D277" s="9">
        <f t="shared" si="300"/>
        <v>21839727.412586659</v>
      </c>
      <c r="E277" s="9">
        <f t="shared" si="300"/>
        <v>27607031.412586663</v>
      </c>
      <c r="F277" s="9">
        <f t="shared" si="300"/>
        <v>23477826.412586659</v>
      </c>
      <c r="G277" s="9">
        <f t="shared" si="300"/>
        <v>15007031.412586661</v>
      </c>
      <c r="H277" s="9">
        <f t="shared" si="300"/>
        <v>11339727.412586661</v>
      </c>
      <c r="I277" s="9">
        <f t="shared" si="300"/>
        <v>15007031.412586661</v>
      </c>
      <c r="J277" s="9">
        <f t="shared" si="300"/>
        <v>11339727.412586661</v>
      </c>
      <c r="K277" s="9">
        <f t="shared" si="300"/>
        <v>15007031.412586661</v>
      </c>
      <c r="L277" s="9">
        <f t="shared" si="300"/>
        <v>11339727.412586661</v>
      </c>
      <c r="M277" s="9">
        <f t="shared" si="300"/>
        <v>15007031.412586661</v>
      </c>
      <c r="N277" s="9">
        <f t="shared" si="300"/>
        <v>11339727.412586661</v>
      </c>
      <c r="O277" s="9">
        <f t="shared" si="292"/>
        <v>87931616.650346637</v>
      </c>
      <c r="P277" s="9">
        <f t="shared" si="295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f t="shared" ref="W277" si="301">+W278</f>
        <v>44665341</v>
      </c>
      <c r="X277" s="9"/>
      <c r="Y277" s="9"/>
      <c r="Z277" s="9"/>
      <c r="AA277" s="9"/>
      <c r="AB277" s="9"/>
      <c r="AC277" s="9"/>
      <c r="AD277" s="9"/>
      <c r="AE277" s="9"/>
      <c r="AF277" s="9">
        <f t="shared" si="271"/>
        <v>163529705</v>
      </c>
      <c r="AG277" s="9">
        <f t="shared" si="272"/>
        <v>163529705</v>
      </c>
      <c r="AI277" s="175">
        <f t="shared" si="290"/>
        <v>0.47129183768181299</v>
      </c>
      <c r="AJ277" s="175">
        <f t="shared" si="275"/>
        <v>-2.186380291536703</v>
      </c>
      <c r="AK277" s="175">
        <f t="shared" si="276"/>
        <v>-0.49745716524783651</v>
      </c>
      <c r="AL277" s="175">
        <f t="shared" si="277"/>
        <v>-0.90244787635257995</v>
      </c>
      <c r="AM277" s="175">
        <f t="shared" si="278"/>
        <v>1</v>
      </c>
      <c r="AN277" s="175">
        <f t="shared" si="279"/>
        <v>1</v>
      </c>
      <c r="AO277" s="175">
        <f t="shared" si="280"/>
        <v>1</v>
      </c>
      <c r="AP277" s="175">
        <f t="shared" si="281"/>
        <v>1</v>
      </c>
      <c r="AQ277" s="175">
        <f t="shared" si="282"/>
        <v>1</v>
      </c>
      <c r="AR277" s="175">
        <f t="shared" si="283"/>
        <v>1</v>
      </c>
      <c r="AS277" s="175">
        <f t="shared" si="284"/>
        <v>1</v>
      </c>
      <c r="AT277" s="175">
        <f t="shared" si="285"/>
        <v>1</v>
      </c>
      <c r="AU277" s="175">
        <f t="shared" si="286"/>
        <v>-0.85973727345720696</v>
      </c>
      <c r="AV277" s="175">
        <f t="shared" si="287"/>
        <v>0.15409246159332982</v>
      </c>
    </row>
    <row r="278" spans="1:49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292"/>
        <v>87931616.650346637</v>
      </c>
      <c r="P278" s="21">
        <f t="shared" si="295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61">
        <v>44665341</v>
      </c>
      <c r="X278" s="21"/>
      <c r="Y278" s="21"/>
      <c r="Z278" s="21"/>
      <c r="AA278" s="21"/>
      <c r="AB278" s="21"/>
      <c r="AC278" s="21"/>
      <c r="AD278" s="21"/>
      <c r="AE278" s="21"/>
      <c r="AF278" s="261">
        <f t="shared" si="271"/>
        <v>163529705</v>
      </c>
      <c r="AG278" s="21">
        <f t="shared" si="272"/>
        <v>163529705</v>
      </c>
      <c r="AI278" s="176">
        <f t="shared" si="290"/>
        <v>0.47129183768181299</v>
      </c>
      <c r="AJ278" s="176">
        <f t="shared" si="275"/>
        <v>-2.186380291536703</v>
      </c>
      <c r="AK278" s="176">
        <f t="shared" si="276"/>
        <v>-0.49745716524783651</v>
      </c>
      <c r="AL278" s="176">
        <f t="shared" si="277"/>
        <v>-0.90244787635257995</v>
      </c>
      <c r="AM278" s="176">
        <f t="shared" si="278"/>
        <v>1</v>
      </c>
      <c r="AN278" s="176">
        <f t="shared" si="279"/>
        <v>1</v>
      </c>
      <c r="AO278" s="176">
        <f t="shared" si="280"/>
        <v>1</v>
      </c>
      <c r="AP278" s="176">
        <f t="shared" si="281"/>
        <v>1</v>
      </c>
      <c r="AQ278" s="176">
        <f t="shared" si="282"/>
        <v>1</v>
      </c>
      <c r="AR278" s="176">
        <f t="shared" si="283"/>
        <v>1</v>
      </c>
      <c r="AS278" s="176">
        <f t="shared" si="284"/>
        <v>1</v>
      </c>
      <c r="AT278" s="176">
        <f t="shared" si="285"/>
        <v>1</v>
      </c>
      <c r="AU278" s="176">
        <f t="shared" si="286"/>
        <v>-0.85973727345720696</v>
      </c>
      <c r="AV278" s="176">
        <f t="shared" si="287"/>
        <v>0.15409246159332982</v>
      </c>
    </row>
    <row r="279" spans="1:49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302">+D280+D284</f>
        <v>40837461</v>
      </c>
      <c r="E279" s="6">
        <f t="shared" si="302"/>
        <v>50883138</v>
      </c>
      <c r="F279" s="6">
        <f t="shared" si="302"/>
        <v>16000000</v>
      </c>
      <c r="G279" s="6">
        <f t="shared" si="302"/>
        <v>30000000</v>
      </c>
      <c r="H279" s="6">
        <f t="shared" si="302"/>
        <v>600000</v>
      </c>
      <c r="I279" s="6">
        <f t="shared" si="302"/>
        <v>6000000</v>
      </c>
      <c r="J279" s="6">
        <f t="shared" si="302"/>
        <v>0</v>
      </c>
      <c r="K279" s="6">
        <f t="shared" si="302"/>
        <v>0</v>
      </c>
      <c r="L279" s="6">
        <f t="shared" si="302"/>
        <v>0</v>
      </c>
      <c r="M279" s="6">
        <f t="shared" si="302"/>
        <v>0</v>
      </c>
      <c r="N279" s="6">
        <f t="shared" si="302"/>
        <v>0</v>
      </c>
      <c r="O279" s="6">
        <f t="shared" si="292"/>
        <v>158101090</v>
      </c>
      <c r="P279" s="6">
        <f t="shared" si="302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f t="shared" ref="W279" si="303">+W280+W284</f>
        <v>71555437</v>
      </c>
      <c r="X279" s="6"/>
      <c r="Y279" s="6"/>
      <c r="Z279" s="6"/>
      <c r="AA279" s="6"/>
      <c r="AB279" s="6"/>
      <c r="AC279" s="6"/>
      <c r="AD279" s="6"/>
      <c r="AE279" s="6"/>
      <c r="AF279" s="6">
        <f t="shared" si="271"/>
        <v>150536914</v>
      </c>
      <c r="AG279" s="6">
        <f t="shared" si="272"/>
        <v>150536914</v>
      </c>
      <c r="AI279" s="174">
        <f t="shared" si="290"/>
        <v>0.88305393847789215</v>
      </c>
      <c r="AJ279" s="174">
        <f t="shared" si="275"/>
        <v>-0.70406473115456414</v>
      </c>
      <c r="AK279" s="174">
        <f t="shared" si="276"/>
        <v>0.93121493411039236</v>
      </c>
      <c r="AL279" s="174">
        <f t="shared" si="277"/>
        <v>-3.4722148124999999</v>
      </c>
      <c r="AM279" s="174">
        <f t="shared" si="278"/>
        <v>1</v>
      </c>
      <c r="AN279" s="174">
        <f t="shared" si="279"/>
        <v>1</v>
      </c>
      <c r="AO279" s="174">
        <f t="shared" si="280"/>
        <v>1</v>
      </c>
      <c r="AP279" s="174" t="e">
        <f t="shared" si="281"/>
        <v>#DIV/0!</v>
      </c>
      <c r="AQ279" s="174" t="e">
        <f t="shared" si="282"/>
        <v>#DIV/0!</v>
      </c>
      <c r="AR279" s="174" t="e">
        <f t="shared" si="283"/>
        <v>#DIV/0!</v>
      </c>
      <c r="AS279" s="174" t="e">
        <f t="shared" si="284"/>
        <v>#DIV/0!</v>
      </c>
      <c r="AT279" s="174" t="e">
        <f t="shared" si="285"/>
        <v>#DIV/0!</v>
      </c>
      <c r="AU279" s="174">
        <f t="shared" si="286"/>
        <v>4.7843920620661125E-2</v>
      </c>
      <c r="AV279" s="174">
        <f t="shared" si="287"/>
        <v>0.2268306561611956</v>
      </c>
    </row>
    <row r="280" spans="1:49" x14ac:dyDescent="0.25">
      <c r="A280" s="4" t="s">
        <v>500</v>
      </c>
      <c r="B280" s="5" t="s">
        <v>501</v>
      </c>
      <c r="C280" s="6">
        <f t="shared" ref="C280:N282" si="304">+C281</f>
        <v>50380491</v>
      </c>
      <c r="D280" s="6">
        <f t="shared" si="304"/>
        <v>34837461</v>
      </c>
      <c r="E280" s="6">
        <f t="shared" si="304"/>
        <v>50883138</v>
      </c>
      <c r="F280" s="6">
        <f t="shared" si="304"/>
        <v>16000000</v>
      </c>
      <c r="G280" s="6">
        <f t="shared" si="304"/>
        <v>30000000</v>
      </c>
      <c r="H280" s="6">
        <f t="shared" si="304"/>
        <v>600000</v>
      </c>
      <c r="I280" s="6">
        <f t="shared" si="304"/>
        <v>0</v>
      </c>
      <c r="J280" s="6">
        <f t="shared" si="304"/>
        <v>0</v>
      </c>
      <c r="K280" s="6">
        <f t="shared" si="304"/>
        <v>0</v>
      </c>
      <c r="L280" s="6">
        <f t="shared" si="304"/>
        <v>0</v>
      </c>
      <c r="M280" s="6">
        <f t="shared" si="304"/>
        <v>0</v>
      </c>
      <c r="N280" s="6">
        <f t="shared" si="304"/>
        <v>0</v>
      </c>
      <c r="O280" s="6">
        <f t="shared" si="292"/>
        <v>152101090</v>
      </c>
      <c r="P280" s="6">
        <f t="shared" ref="P280:P287" si="305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f t="shared" ref="W280:W282" si="306">+W281</f>
        <v>71555437</v>
      </c>
      <c r="X280" s="6"/>
      <c r="Y280" s="6"/>
      <c r="Z280" s="6"/>
      <c r="AA280" s="6"/>
      <c r="AB280" s="6"/>
      <c r="AC280" s="6"/>
      <c r="AD280" s="6"/>
      <c r="AE280" s="6"/>
      <c r="AF280" s="6">
        <f t="shared" si="271"/>
        <v>150536914</v>
      </c>
      <c r="AG280" s="6">
        <f t="shared" si="272"/>
        <v>150536914</v>
      </c>
      <c r="AI280" s="174">
        <f t="shared" si="290"/>
        <v>0.88305393847789215</v>
      </c>
      <c r="AJ280" s="174">
        <f t="shared" si="275"/>
        <v>-0.99755306507555186</v>
      </c>
      <c r="AK280" s="174">
        <f t="shared" si="276"/>
        <v>0.93121493411039236</v>
      </c>
      <c r="AL280" s="174">
        <f t="shared" si="277"/>
        <v>-3.4722148124999999</v>
      </c>
      <c r="AM280" s="174">
        <f t="shared" si="278"/>
        <v>1</v>
      </c>
      <c r="AN280" s="174">
        <f t="shared" si="279"/>
        <v>1</v>
      </c>
      <c r="AO280" s="174" t="e">
        <f t="shared" si="280"/>
        <v>#DIV/0!</v>
      </c>
      <c r="AP280" s="174" t="e">
        <f t="shared" si="281"/>
        <v>#DIV/0!</v>
      </c>
      <c r="AQ280" s="174" t="e">
        <f t="shared" si="282"/>
        <v>#DIV/0!</v>
      </c>
      <c r="AR280" s="174" t="e">
        <f t="shared" si="283"/>
        <v>#DIV/0!</v>
      </c>
      <c r="AS280" s="174" t="e">
        <f t="shared" si="284"/>
        <v>#DIV/0!</v>
      </c>
      <c r="AT280" s="174" t="e">
        <f t="shared" si="285"/>
        <v>#DIV/0!</v>
      </c>
      <c r="AU280" s="174">
        <f t="shared" si="286"/>
        <v>1.0283792180582006E-2</v>
      </c>
      <c r="AV280" s="174">
        <f t="shared" si="287"/>
        <v>0.17604807940664174</v>
      </c>
    </row>
    <row r="281" spans="1:49" x14ac:dyDescent="0.25">
      <c r="A281" s="4" t="s">
        <v>502</v>
      </c>
      <c r="B281" s="5" t="s">
        <v>503</v>
      </c>
      <c r="C281" s="6">
        <f t="shared" si="304"/>
        <v>50380491</v>
      </c>
      <c r="D281" s="6">
        <f t="shared" si="304"/>
        <v>34837461</v>
      </c>
      <c r="E281" s="6">
        <f t="shared" si="304"/>
        <v>50883138</v>
      </c>
      <c r="F281" s="6">
        <f t="shared" si="304"/>
        <v>16000000</v>
      </c>
      <c r="G281" s="6">
        <f t="shared" si="304"/>
        <v>30000000</v>
      </c>
      <c r="H281" s="6">
        <f t="shared" si="304"/>
        <v>600000</v>
      </c>
      <c r="I281" s="6">
        <f t="shared" si="304"/>
        <v>0</v>
      </c>
      <c r="J281" s="6">
        <f t="shared" si="304"/>
        <v>0</v>
      </c>
      <c r="K281" s="6">
        <f t="shared" si="304"/>
        <v>0</v>
      </c>
      <c r="L281" s="6">
        <f t="shared" si="304"/>
        <v>0</v>
      </c>
      <c r="M281" s="6">
        <f t="shared" si="304"/>
        <v>0</v>
      </c>
      <c r="N281" s="6">
        <f t="shared" si="304"/>
        <v>0</v>
      </c>
      <c r="O281" s="6">
        <f t="shared" si="292"/>
        <v>152101090</v>
      </c>
      <c r="P281" s="6">
        <f t="shared" si="305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f t="shared" si="306"/>
        <v>71555437</v>
      </c>
      <c r="X281" s="6"/>
      <c r="Y281" s="6"/>
      <c r="Z281" s="6"/>
      <c r="AA281" s="6"/>
      <c r="AB281" s="6"/>
      <c r="AC281" s="6"/>
      <c r="AD281" s="6"/>
      <c r="AE281" s="6"/>
      <c r="AF281" s="6">
        <f t="shared" si="271"/>
        <v>150536914</v>
      </c>
      <c r="AG281" s="6">
        <f t="shared" si="272"/>
        <v>150536914</v>
      </c>
      <c r="AI281" s="174">
        <f t="shared" si="290"/>
        <v>0.88305393847789215</v>
      </c>
      <c r="AJ281" s="174">
        <f t="shared" si="275"/>
        <v>-0.99755306507555186</v>
      </c>
      <c r="AK281" s="174">
        <f t="shared" si="276"/>
        <v>0.93121493411039236</v>
      </c>
      <c r="AL281" s="174">
        <f t="shared" si="277"/>
        <v>-3.4722148124999999</v>
      </c>
      <c r="AM281" s="174">
        <f t="shared" si="278"/>
        <v>1</v>
      </c>
      <c r="AN281" s="174">
        <f t="shared" si="279"/>
        <v>1</v>
      </c>
      <c r="AO281" s="174" t="e">
        <f t="shared" si="280"/>
        <v>#DIV/0!</v>
      </c>
      <c r="AP281" s="174" t="e">
        <f t="shared" si="281"/>
        <v>#DIV/0!</v>
      </c>
      <c r="AQ281" s="174" t="e">
        <f t="shared" si="282"/>
        <v>#DIV/0!</v>
      </c>
      <c r="AR281" s="174" t="e">
        <f t="shared" si="283"/>
        <v>#DIV/0!</v>
      </c>
      <c r="AS281" s="174" t="e">
        <f t="shared" si="284"/>
        <v>#DIV/0!</v>
      </c>
      <c r="AT281" s="174" t="e">
        <f t="shared" si="285"/>
        <v>#DIV/0!</v>
      </c>
      <c r="AU281" s="174">
        <f t="shared" si="286"/>
        <v>1.0283792180582006E-2</v>
      </c>
      <c r="AV281" s="174">
        <f t="shared" si="287"/>
        <v>0.17604807940664174</v>
      </c>
    </row>
    <row r="282" spans="1:49" x14ac:dyDescent="0.25">
      <c r="A282" s="7" t="s">
        <v>504</v>
      </c>
      <c r="B282" s="8" t="s">
        <v>503</v>
      </c>
      <c r="C282" s="9">
        <f t="shared" si="304"/>
        <v>50380491</v>
      </c>
      <c r="D282" s="9">
        <f t="shared" si="304"/>
        <v>34837461</v>
      </c>
      <c r="E282" s="9">
        <f t="shared" si="304"/>
        <v>50883138</v>
      </c>
      <c r="F282" s="9">
        <f t="shared" si="304"/>
        <v>16000000</v>
      </c>
      <c r="G282" s="9">
        <f t="shared" si="304"/>
        <v>30000000</v>
      </c>
      <c r="H282" s="9">
        <f t="shared" si="304"/>
        <v>600000</v>
      </c>
      <c r="I282" s="9">
        <f t="shared" si="304"/>
        <v>0</v>
      </c>
      <c r="J282" s="9">
        <f t="shared" si="304"/>
        <v>0</v>
      </c>
      <c r="K282" s="9">
        <f t="shared" si="304"/>
        <v>0</v>
      </c>
      <c r="L282" s="9">
        <f t="shared" si="304"/>
        <v>0</v>
      </c>
      <c r="M282" s="9">
        <f t="shared" si="304"/>
        <v>0</v>
      </c>
      <c r="N282" s="9">
        <f t="shared" si="304"/>
        <v>0</v>
      </c>
      <c r="O282" s="9">
        <f t="shared" si="292"/>
        <v>152101090</v>
      </c>
      <c r="P282" s="9">
        <f t="shared" si="305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f t="shared" si="306"/>
        <v>71555437</v>
      </c>
      <c r="X282" s="9"/>
      <c r="Y282" s="9"/>
      <c r="Z282" s="9"/>
      <c r="AA282" s="9"/>
      <c r="AB282" s="9"/>
      <c r="AC282" s="9"/>
      <c r="AD282" s="9"/>
      <c r="AE282" s="9"/>
      <c r="AF282" s="9">
        <f t="shared" si="271"/>
        <v>80947237</v>
      </c>
      <c r="AG282" s="9">
        <f t="shared" si="272"/>
        <v>80947237</v>
      </c>
      <c r="AI282" s="175">
        <f t="shared" si="290"/>
        <v>0.88305393847789215</v>
      </c>
      <c r="AJ282" s="175">
        <f t="shared" si="275"/>
        <v>1</v>
      </c>
      <c r="AK282" s="175">
        <f t="shared" si="276"/>
        <v>0.93121493411039236</v>
      </c>
      <c r="AL282" s="175">
        <f t="shared" si="277"/>
        <v>-3.4722148124999999</v>
      </c>
      <c r="AM282" s="175">
        <f t="shared" si="278"/>
        <v>1</v>
      </c>
      <c r="AN282" s="175">
        <f t="shared" si="279"/>
        <v>1</v>
      </c>
      <c r="AO282" s="175" t="e">
        <f t="shared" si="280"/>
        <v>#DIV/0!</v>
      </c>
      <c r="AP282" s="175" t="e">
        <f t="shared" si="281"/>
        <v>#DIV/0!</v>
      </c>
      <c r="AQ282" s="175" t="e">
        <f t="shared" si="282"/>
        <v>#DIV/0!</v>
      </c>
      <c r="AR282" s="175" t="e">
        <f t="shared" si="283"/>
        <v>#DIV/0!</v>
      </c>
      <c r="AS282" s="175" t="e">
        <f t="shared" si="284"/>
        <v>#DIV/0!</v>
      </c>
      <c r="AT282" s="175" t="e">
        <f t="shared" si="285"/>
        <v>#DIV/0!</v>
      </c>
      <c r="AU282" s="175">
        <f t="shared" si="286"/>
        <v>0.46780633195988275</v>
      </c>
      <c r="AV282" s="175">
        <f t="shared" si="287"/>
        <v>0.55694168546011413</v>
      </c>
    </row>
    <row r="283" spans="1:49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292"/>
        <v>152101090</v>
      </c>
      <c r="P283" s="21">
        <f t="shared" si="305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61">
        <v>71555437</v>
      </c>
      <c r="X283" s="21"/>
      <c r="Y283" s="21"/>
      <c r="Z283" s="21"/>
      <c r="AA283" s="21"/>
      <c r="AB283" s="21"/>
      <c r="AC283" s="21"/>
      <c r="AD283" s="21"/>
      <c r="AE283" s="21"/>
      <c r="AF283" s="261">
        <f t="shared" si="271"/>
        <v>80947237</v>
      </c>
      <c r="AG283" s="21">
        <f t="shared" si="272"/>
        <v>80947237</v>
      </c>
      <c r="AI283" s="176">
        <f t="shared" si="290"/>
        <v>0.88305393847789215</v>
      </c>
      <c r="AJ283" s="176">
        <f t="shared" si="275"/>
        <v>1</v>
      </c>
      <c r="AK283" s="176">
        <f t="shared" si="276"/>
        <v>0.93121493411039236</v>
      </c>
      <c r="AL283" s="176">
        <f t="shared" si="277"/>
        <v>-3.4722148124999999</v>
      </c>
      <c r="AM283" s="176">
        <f t="shared" si="278"/>
        <v>1</v>
      </c>
      <c r="AN283" s="176">
        <f t="shared" si="279"/>
        <v>1</v>
      </c>
      <c r="AO283" s="176" t="e">
        <f t="shared" si="280"/>
        <v>#DIV/0!</v>
      </c>
      <c r="AP283" s="176" t="e">
        <f t="shared" si="281"/>
        <v>#DIV/0!</v>
      </c>
      <c r="AQ283" s="176" t="e">
        <f t="shared" si="282"/>
        <v>#DIV/0!</v>
      </c>
      <c r="AR283" s="176" t="e">
        <f t="shared" si="283"/>
        <v>#DIV/0!</v>
      </c>
      <c r="AS283" s="176" t="e">
        <f t="shared" si="284"/>
        <v>#DIV/0!</v>
      </c>
      <c r="AT283" s="176" t="e">
        <f t="shared" si="285"/>
        <v>#DIV/0!</v>
      </c>
      <c r="AU283" s="176">
        <f t="shared" si="286"/>
        <v>0.46780633195988275</v>
      </c>
      <c r="AV283" s="176">
        <f t="shared" si="287"/>
        <v>0.55694168546011413</v>
      </c>
    </row>
    <row r="284" spans="1:49" x14ac:dyDescent="0.25">
      <c r="A284" s="4" t="s">
        <v>506</v>
      </c>
      <c r="B284" s="5" t="s">
        <v>507</v>
      </c>
      <c r="C284" s="6">
        <f t="shared" ref="C284:N286" si="307">+C285</f>
        <v>0</v>
      </c>
      <c r="D284" s="6">
        <f t="shared" si="307"/>
        <v>6000000</v>
      </c>
      <c r="E284" s="6">
        <f t="shared" si="307"/>
        <v>0</v>
      </c>
      <c r="F284" s="6">
        <f t="shared" si="307"/>
        <v>0</v>
      </c>
      <c r="G284" s="6">
        <f t="shared" si="307"/>
        <v>0</v>
      </c>
      <c r="H284" s="6">
        <f t="shared" si="307"/>
        <v>0</v>
      </c>
      <c r="I284" s="6">
        <f t="shared" si="307"/>
        <v>6000000</v>
      </c>
      <c r="J284" s="6">
        <f t="shared" si="307"/>
        <v>0</v>
      </c>
      <c r="K284" s="6">
        <f t="shared" si="307"/>
        <v>0</v>
      </c>
      <c r="L284" s="6">
        <f t="shared" si="307"/>
        <v>0</v>
      </c>
      <c r="M284" s="6">
        <f t="shared" si="307"/>
        <v>0</v>
      </c>
      <c r="N284" s="6">
        <f t="shared" si="307"/>
        <v>0</v>
      </c>
      <c r="O284" s="6">
        <f t="shared" si="292"/>
        <v>6000000</v>
      </c>
      <c r="P284" s="6">
        <f t="shared" si="305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f t="shared" ref="W284:W286" si="308">+W285</f>
        <v>0</v>
      </c>
      <c r="X284" s="6"/>
      <c r="Y284" s="6"/>
      <c r="Z284" s="6"/>
      <c r="AA284" s="6"/>
      <c r="AB284" s="6"/>
      <c r="AC284" s="6"/>
      <c r="AD284" s="6"/>
      <c r="AE284" s="6"/>
      <c r="AF284" s="6">
        <f t="shared" si="271"/>
        <v>0</v>
      </c>
      <c r="AG284" s="6">
        <f t="shared" si="272"/>
        <v>0</v>
      </c>
      <c r="AI284" s="174" t="e">
        <f t="shared" si="290"/>
        <v>#DIV/0!</v>
      </c>
      <c r="AJ284" s="174">
        <f t="shared" si="275"/>
        <v>1</v>
      </c>
      <c r="AK284" s="174" t="e">
        <f t="shared" si="276"/>
        <v>#DIV/0!</v>
      </c>
      <c r="AL284" s="174" t="e">
        <f t="shared" si="277"/>
        <v>#DIV/0!</v>
      </c>
      <c r="AM284" s="174" t="e">
        <f t="shared" si="278"/>
        <v>#DIV/0!</v>
      </c>
      <c r="AN284" s="174" t="e">
        <f t="shared" si="279"/>
        <v>#DIV/0!</v>
      </c>
      <c r="AO284" s="174">
        <f t="shared" si="280"/>
        <v>1</v>
      </c>
      <c r="AP284" s="174" t="e">
        <f t="shared" si="281"/>
        <v>#DIV/0!</v>
      </c>
      <c r="AQ284" s="174" t="e">
        <f t="shared" si="282"/>
        <v>#DIV/0!</v>
      </c>
      <c r="AR284" s="174" t="e">
        <f t="shared" si="283"/>
        <v>#DIV/0!</v>
      </c>
      <c r="AS284" s="174" t="e">
        <f t="shared" si="284"/>
        <v>#DIV/0!</v>
      </c>
      <c r="AT284" s="174" t="e">
        <f t="shared" si="285"/>
        <v>#DIV/0!</v>
      </c>
      <c r="AU284" s="174">
        <f t="shared" si="286"/>
        <v>1</v>
      </c>
      <c r="AV284" s="174">
        <f t="shared" si="287"/>
        <v>1</v>
      </c>
    </row>
    <row r="285" spans="1:49" x14ac:dyDescent="0.25">
      <c r="A285" s="4" t="s">
        <v>508</v>
      </c>
      <c r="B285" s="5" t="s">
        <v>507</v>
      </c>
      <c r="C285" s="6">
        <f t="shared" si="307"/>
        <v>0</v>
      </c>
      <c r="D285" s="6">
        <f t="shared" si="307"/>
        <v>6000000</v>
      </c>
      <c r="E285" s="6">
        <f t="shared" si="307"/>
        <v>0</v>
      </c>
      <c r="F285" s="6">
        <f t="shared" si="307"/>
        <v>0</v>
      </c>
      <c r="G285" s="6">
        <f t="shared" si="307"/>
        <v>0</v>
      </c>
      <c r="H285" s="6">
        <f t="shared" si="307"/>
        <v>0</v>
      </c>
      <c r="I285" s="6">
        <f t="shared" si="307"/>
        <v>6000000</v>
      </c>
      <c r="J285" s="6">
        <f t="shared" si="307"/>
        <v>0</v>
      </c>
      <c r="K285" s="6">
        <f t="shared" si="307"/>
        <v>0</v>
      </c>
      <c r="L285" s="6">
        <f t="shared" si="307"/>
        <v>0</v>
      </c>
      <c r="M285" s="6">
        <f t="shared" si="307"/>
        <v>0</v>
      </c>
      <c r="N285" s="6">
        <f t="shared" si="307"/>
        <v>0</v>
      </c>
      <c r="O285" s="6">
        <f t="shared" si="292"/>
        <v>6000000</v>
      </c>
      <c r="P285" s="6">
        <f t="shared" si="305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f t="shared" si="308"/>
        <v>0</v>
      </c>
      <c r="X285" s="6"/>
      <c r="Y285" s="6"/>
      <c r="Z285" s="6"/>
      <c r="AA285" s="6"/>
      <c r="AB285" s="6"/>
      <c r="AC285" s="6"/>
      <c r="AD285" s="6"/>
      <c r="AE285" s="6"/>
      <c r="AF285" s="6">
        <f t="shared" si="271"/>
        <v>0</v>
      </c>
      <c r="AG285" s="6">
        <f t="shared" si="272"/>
        <v>0</v>
      </c>
      <c r="AI285" s="174" t="e">
        <f t="shared" si="290"/>
        <v>#DIV/0!</v>
      </c>
      <c r="AJ285" s="174">
        <f t="shared" si="275"/>
        <v>1</v>
      </c>
      <c r="AK285" s="174" t="e">
        <f t="shared" si="276"/>
        <v>#DIV/0!</v>
      </c>
      <c r="AL285" s="174" t="e">
        <f t="shared" si="277"/>
        <v>#DIV/0!</v>
      </c>
      <c r="AM285" s="174" t="e">
        <f t="shared" si="278"/>
        <v>#DIV/0!</v>
      </c>
      <c r="AN285" s="174" t="e">
        <f t="shared" si="279"/>
        <v>#DIV/0!</v>
      </c>
      <c r="AO285" s="174">
        <f t="shared" si="280"/>
        <v>1</v>
      </c>
      <c r="AP285" s="174" t="e">
        <f t="shared" si="281"/>
        <v>#DIV/0!</v>
      </c>
      <c r="AQ285" s="174" t="e">
        <f t="shared" si="282"/>
        <v>#DIV/0!</v>
      </c>
      <c r="AR285" s="174" t="e">
        <f t="shared" si="283"/>
        <v>#DIV/0!</v>
      </c>
      <c r="AS285" s="174" t="e">
        <f t="shared" si="284"/>
        <v>#DIV/0!</v>
      </c>
      <c r="AT285" s="174" t="e">
        <f t="shared" si="285"/>
        <v>#DIV/0!</v>
      </c>
      <c r="AU285" s="174">
        <f t="shared" si="286"/>
        <v>1</v>
      </c>
      <c r="AV285" s="174">
        <f t="shared" si="287"/>
        <v>1</v>
      </c>
    </row>
    <row r="286" spans="1:49" x14ac:dyDescent="0.25">
      <c r="A286" s="7" t="s">
        <v>509</v>
      </c>
      <c r="B286" s="8" t="s">
        <v>507</v>
      </c>
      <c r="C286" s="9">
        <f t="shared" si="307"/>
        <v>0</v>
      </c>
      <c r="D286" s="9">
        <f t="shared" si="307"/>
        <v>6000000</v>
      </c>
      <c r="E286" s="9">
        <f t="shared" si="307"/>
        <v>0</v>
      </c>
      <c r="F286" s="9">
        <f t="shared" si="307"/>
        <v>0</v>
      </c>
      <c r="G286" s="9">
        <f t="shared" si="307"/>
        <v>0</v>
      </c>
      <c r="H286" s="9">
        <f t="shared" si="307"/>
        <v>0</v>
      </c>
      <c r="I286" s="9">
        <f t="shared" si="307"/>
        <v>6000000</v>
      </c>
      <c r="J286" s="9">
        <f t="shared" si="307"/>
        <v>0</v>
      </c>
      <c r="K286" s="9">
        <f t="shared" si="307"/>
        <v>0</v>
      </c>
      <c r="L286" s="9">
        <f t="shared" si="307"/>
        <v>0</v>
      </c>
      <c r="M286" s="9">
        <f t="shared" si="307"/>
        <v>0</v>
      </c>
      <c r="N286" s="9">
        <f t="shared" si="307"/>
        <v>0</v>
      </c>
      <c r="O286" s="9">
        <f t="shared" si="292"/>
        <v>6000000</v>
      </c>
      <c r="P286" s="9">
        <f t="shared" si="305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f t="shared" si="308"/>
        <v>0</v>
      </c>
      <c r="X286" s="9"/>
      <c r="Y286" s="9"/>
      <c r="Z286" s="9"/>
      <c r="AA286" s="9"/>
      <c r="AB286" s="9"/>
      <c r="AC286" s="9"/>
      <c r="AD286" s="9"/>
      <c r="AE286" s="9"/>
      <c r="AF286" s="9">
        <f t="shared" si="271"/>
        <v>150000</v>
      </c>
      <c r="AG286" s="9">
        <f t="shared" si="272"/>
        <v>150000</v>
      </c>
      <c r="AI286" s="175" t="e">
        <f t="shared" si="290"/>
        <v>#DIV/0!</v>
      </c>
      <c r="AJ286" s="175">
        <f t="shared" si="275"/>
        <v>0.97499999999999998</v>
      </c>
      <c r="AK286" s="175" t="e">
        <f t="shared" si="276"/>
        <v>#DIV/0!</v>
      </c>
      <c r="AL286" s="175" t="e">
        <f t="shared" si="277"/>
        <v>#DIV/0!</v>
      </c>
      <c r="AM286" s="175" t="e">
        <f t="shared" si="278"/>
        <v>#DIV/0!</v>
      </c>
      <c r="AN286" s="175" t="e">
        <f t="shared" si="279"/>
        <v>#DIV/0!</v>
      </c>
      <c r="AO286" s="175">
        <f t="shared" si="280"/>
        <v>1</v>
      </c>
      <c r="AP286" s="175" t="e">
        <f t="shared" si="281"/>
        <v>#DIV/0!</v>
      </c>
      <c r="AQ286" s="175" t="e">
        <f t="shared" si="282"/>
        <v>#DIV/0!</v>
      </c>
      <c r="AR286" s="175" t="e">
        <f t="shared" si="283"/>
        <v>#DIV/0!</v>
      </c>
      <c r="AS286" s="175" t="e">
        <f t="shared" si="284"/>
        <v>#DIV/0!</v>
      </c>
      <c r="AT286" s="175" t="e">
        <f t="shared" si="285"/>
        <v>#DIV/0!</v>
      </c>
      <c r="AU286" s="175">
        <f t="shared" si="286"/>
        <v>0.97499999999999998</v>
      </c>
      <c r="AV286" s="175">
        <f t="shared" si="287"/>
        <v>0.98750000000000004</v>
      </c>
    </row>
    <row r="287" spans="1:49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292"/>
        <v>6000000</v>
      </c>
      <c r="P287" s="21">
        <f t="shared" si="305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61">
        <v>0</v>
      </c>
      <c r="X287" s="21"/>
      <c r="Y287" s="21"/>
      <c r="Z287" s="21"/>
      <c r="AA287" s="21"/>
      <c r="AB287" s="21"/>
      <c r="AC287" s="21"/>
      <c r="AD287" s="21"/>
      <c r="AE287" s="21"/>
      <c r="AF287" s="261">
        <f t="shared" si="271"/>
        <v>0</v>
      </c>
      <c r="AG287" s="21">
        <f t="shared" si="272"/>
        <v>0</v>
      </c>
      <c r="AI287" s="176" t="e">
        <f t="shared" si="290"/>
        <v>#DIV/0!</v>
      </c>
      <c r="AJ287" s="176">
        <f t="shared" si="275"/>
        <v>1</v>
      </c>
      <c r="AK287" s="176" t="e">
        <f t="shared" si="276"/>
        <v>#DIV/0!</v>
      </c>
      <c r="AL287" s="176" t="e">
        <f t="shared" si="277"/>
        <v>#DIV/0!</v>
      </c>
      <c r="AM287" s="176" t="e">
        <f t="shared" si="278"/>
        <v>#DIV/0!</v>
      </c>
      <c r="AN287" s="176" t="e">
        <f t="shared" si="279"/>
        <v>#DIV/0!</v>
      </c>
      <c r="AO287" s="176">
        <f t="shared" si="280"/>
        <v>1</v>
      </c>
      <c r="AP287" s="176" t="e">
        <f t="shared" si="281"/>
        <v>#DIV/0!</v>
      </c>
      <c r="AQ287" s="176" t="e">
        <f t="shared" si="282"/>
        <v>#DIV/0!</v>
      </c>
      <c r="AR287" s="176" t="e">
        <f t="shared" si="283"/>
        <v>#DIV/0!</v>
      </c>
      <c r="AS287" s="176" t="e">
        <f t="shared" si="284"/>
        <v>#DIV/0!</v>
      </c>
      <c r="AT287" s="176" t="e">
        <f t="shared" si="285"/>
        <v>#DIV/0!</v>
      </c>
      <c r="AU287" s="176">
        <f t="shared" si="286"/>
        <v>1</v>
      </c>
      <c r="AV287" s="176">
        <f t="shared" si="287"/>
        <v>1</v>
      </c>
    </row>
    <row r="288" spans="1:49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309">+D289+D293+D297</f>
        <v>326419184</v>
      </c>
      <c r="E288" s="6">
        <f t="shared" si="309"/>
        <v>159000000</v>
      </c>
      <c r="F288" s="6">
        <f t="shared" si="309"/>
        <v>6000000</v>
      </c>
      <c r="G288" s="6">
        <f t="shared" si="309"/>
        <v>6000000</v>
      </c>
      <c r="H288" s="6">
        <f t="shared" si="309"/>
        <v>6000000</v>
      </c>
      <c r="I288" s="6">
        <f t="shared" si="309"/>
        <v>6000000</v>
      </c>
      <c r="J288" s="6">
        <f t="shared" si="309"/>
        <v>6000000</v>
      </c>
      <c r="K288" s="6">
        <f t="shared" si="309"/>
        <v>6000000</v>
      </c>
      <c r="L288" s="6">
        <f t="shared" si="309"/>
        <v>6000000</v>
      </c>
      <c r="M288" s="6">
        <f t="shared" si="309"/>
        <v>6000000</v>
      </c>
      <c r="N288" s="6">
        <f t="shared" si="309"/>
        <v>6000000</v>
      </c>
      <c r="O288" s="6">
        <f t="shared" si="292"/>
        <v>497419184</v>
      </c>
      <c r="P288" s="6">
        <f t="shared" si="309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f t="shared" ref="W288" si="310">+W289+W293+W298</f>
        <v>0</v>
      </c>
      <c r="X288" s="6"/>
      <c r="Y288" s="6"/>
      <c r="Z288" s="6"/>
      <c r="AA288" s="6"/>
      <c r="AB288" s="6"/>
      <c r="AC288" s="6"/>
      <c r="AD288" s="6"/>
      <c r="AE288" s="6"/>
      <c r="AF288" s="6">
        <f t="shared" si="271"/>
        <v>344042433</v>
      </c>
      <c r="AG288" s="6">
        <f t="shared" si="272"/>
        <v>344042433</v>
      </c>
      <c r="AI288" s="174">
        <f t="shared" si="290"/>
        <v>-4.7905115</v>
      </c>
      <c r="AJ288" s="174">
        <f t="shared" si="275"/>
        <v>1</v>
      </c>
      <c r="AK288" s="174">
        <f t="shared" si="276"/>
        <v>-0.94527901886792454</v>
      </c>
      <c r="AL288" s="174">
        <f t="shared" si="277"/>
        <v>1</v>
      </c>
      <c r="AM288" s="174">
        <f t="shared" si="278"/>
        <v>1</v>
      </c>
      <c r="AN288" s="174">
        <f t="shared" si="279"/>
        <v>1</v>
      </c>
      <c r="AO288" s="174">
        <f t="shared" si="280"/>
        <v>1</v>
      </c>
      <c r="AP288" s="174">
        <f t="shared" si="281"/>
        <v>1</v>
      </c>
      <c r="AQ288" s="174">
        <f t="shared" si="282"/>
        <v>1</v>
      </c>
      <c r="AR288" s="174">
        <f t="shared" si="283"/>
        <v>1</v>
      </c>
      <c r="AS288" s="174">
        <f t="shared" si="284"/>
        <v>1</v>
      </c>
      <c r="AT288" s="174">
        <f t="shared" si="285"/>
        <v>1</v>
      </c>
      <c r="AU288" s="174">
        <f t="shared" si="286"/>
        <v>0.30834506575846099</v>
      </c>
      <c r="AV288" s="174">
        <f t="shared" si="287"/>
        <v>0.36921464610603061</v>
      </c>
    </row>
    <row r="289" spans="1:48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311">+D290</f>
        <v>0</v>
      </c>
      <c r="E289" s="6">
        <f t="shared" si="311"/>
        <v>150000000</v>
      </c>
      <c r="F289" s="6">
        <f t="shared" si="311"/>
        <v>0</v>
      </c>
      <c r="G289" s="6">
        <f t="shared" si="311"/>
        <v>0</v>
      </c>
      <c r="H289" s="6">
        <f t="shared" si="311"/>
        <v>0</v>
      </c>
      <c r="I289" s="6">
        <f t="shared" si="311"/>
        <v>0</v>
      </c>
      <c r="J289" s="6">
        <f t="shared" si="311"/>
        <v>0</v>
      </c>
      <c r="K289" s="6">
        <f t="shared" si="311"/>
        <v>0</v>
      </c>
      <c r="L289" s="6">
        <f t="shared" si="311"/>
        <v>0</v>
      </c>
      <c r="M289" s="6">
        <f t="shared" si="311"/>
        <v>0</v>
      </c>
      <c r="N289" s="6">
        <f t="shared" si="311"/>
        <v>0</v>
      </c>
      <c r="O289" s="6">
        <f t="shared" si="292"/>
        <v>150000000</v>
      </c>
      <c r="P289" s="6">
        <f t="shared" si="311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f t="shared" ref="W289:W291" si="312">+W290</f>
        <v>0</v>
      </c>
      <c r="X289" s="6"/>
      <c r="Y289" s="6"/>
      <c r="Z289" s="6"/>
      <c r="AA289" s="6"/>
      <c r="AB289" s="6"/>
      <c r="AC289" s="6"/>
      <c r="AD289" s="6"/>
      <c r="AE289" s="6"/>
      <c r="AF289" s="6">
        <f t="shared" si="271"/>
        <v>34093069</v>
      </c>
      <c r="AG289" s="6">
        <f t="shared" si="272"/>
        <v>34093069</v>
      </c>
      <c r="AI289" s="174" t="e">
        <f t="shared" si="290"/>
        <v>#DIV/0!</v>
      </c>
      <c r="AJ289" s="174" t="e">
        <f t="shared" si="275"/>
        <v>#DIV/0!</v>
      </c>
      <c r="AK289" s="174">
        <f t="shared" si="276"/>
        <v>1</v>
      </c>
      <c r="AL289" s="174" t="e">
        <f t="shared" si="277"/>
        <v>#DIV/0!</v>
      </c>
      <c r="AM289" s="174" t="e">
        <f t="shared" si="278"/>
        <v>#DIV/0!</v>
      </c>
      <c r="AN289" s="174" t="e">
        <f t="shared" si="279"/>
        <v>#DIV/0!</v>
      </c>
      <c r="AO289" s="174" t="e">
        <f t="shared" si="280"/>
        <v>#DIV/0!</v>
      </c>
      <c r="AP289" s="174" t="e">
        <f t="shared" si="281"/>
        <v>#DIV/0!</v>
      </c>
      <c r="AQ289" s="174" t="e">
        <f t="shared" si="282"/>
        <v>#DIV/0!</v>
      </c>
      <c r="AR289" s="174" t="e">
        <f t="shared" si="283"/>
        <v>#DIV/0!</v>
      </c>
      <c r="AS289" s="174" t="e">
        <f t="shared" si="284"/>
        <v>#DIV/0!</v>
      </c>
      <c r="AT289" s="174" t="e">
        <f t="shared" si="285"/>
        <v>#DIV/0!</v>
      </c>
      <c r="AU289" s="174">
        <f t="shared" si="286"/>
        <v>0.77271287333333338</v>
      </c>
      <c r="AV289" s="174">
        <f t="shared" si="287"/>
        <v>0.77271287333333338</v>
      </c>
    </row>
    <row r="290" spans="1:48" x14ac:dyDescent="0.25">
      <c r="A290" s="4" t="s">
        <v>515</v>
      </c>
      <c r="B290" s="5" t="s">
        <v>516</v>
      </c>
      <c r="C290" s="6">
        <f>+C291</f>
        <v>0</v>
      </c>
      <c r="D290" s="6">
        <f t="shared" si="311"/>
        <v>0</v>
      </c>
      <c r="E290" s="6">
        <f t="shared" si="311"/>
        <v>150000000</v>
      </c>
      <c r="F290" s="6">
        <f t="shared" si="311"/>
        <v>0</v>
      </c>
      <c r="G290" s="6">
        <f t="shared" si="311"/>
        <v>0</v>
      </c>
      <c r="H290" s="6">
        <f t="shared" si="311"/>
        <v>0</v>
      </c>
      <c r="I290" s="6">
        <f t="shared" si="311"/>
        <v>0</v>
      </c>
      <c r="J290" s="6">
        <f t="shared" si="311"/>
        <v>0</v>
      </c>
      <c r="K290" s="6">
        <f t="shared" si="311"/>
        <v>0</v>
      </c>
      <c r="L290" s="6">
        <f t="shared" si="311"/>
        <v>0</v>
      </c>
      <c r="M290" s="6">
        <f t="shared" si="311"/>
        <v>0</v>
      </c>
      <c r="N290" s="6">
        <f t="shared" si="311"/>
        <v>0</v>
      </c>
      <c r="O290" s="6">
        <f t="shared" si="292"/>
        <v>150000000</v>
      </c>
      <c r="P290" s="6">
        <f t="shared" si="311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f t="shared" si="312"/>
        <v>0</v>
      </c>
      <c r="X290" s="6"/>
      <c r="Y290" s="6"/>
      <c r="Z290" s="6"/>
      <c r="AA290" s="6"/>
      <c r="AB290" s="6"/>
      <c r="AC290" s="6"/>
      <c r="AD290" s="6"/>
      <c r="AE290" s="6"/>
      <c r="AF290" s="6">
        <f t="shared" si="271"/>
        <v>34093069</v>
      </c>
      <c r="AG290" s="6">
        <f t="shared" si="272"/>
        <v>34093069</v>
      </c>
      <c r="AI290" s="174" t="e">
        <f t="shared" si="290"/>
        <v>#DIV/0!</v>
      </c>
      <c r="AJ290" s="174" t="e">
        <f t="shared" si="275"/>
        <v>#DIV/0!</v>
      </c>
      <c r="AK290" s="174">
        <f t="shared" si="276"/>
        <v>1</v>
      </c>
      <c r="AL290" s="174" t="e">
        <f t="shared" si="277"/>
        <v>#DIV/0!</v>
      </c>
      <c r="AM290" s="174" t="e">
        <f t="shared" si="278"/>
        <v>#DIV/0!</v>
      </c>
      <c r="AN290" s="174" t="e">
        <f t="shared" si="279"/>
        <v>#DIV/0!</v>
      </c>
      <c r="AO290" s="174" t="e">
        <f t="shared" si="280"/>
        <v>#DIV/0!</v>
      </c>
      <c r="AP290" s="174" t="e">
        <f t="shared" si="281"/>
        <v>#DIV/0!</v>
      </c>
      <c r="AQ290" s="174" t="e">
        <f t="shared" si="282"/>
        <v>#DIV/0!</v>
      </c>
      <c r="AR290" s="174" t="e">
        <f t="shared" si="283"/>
        <v>#DIV/0!</v>
      </c>
      <c r="AS290" s="174" t="e">
        <f t="shared" si="284"/>
        <v>#DIV/0!</v>
      </c>
      <c r="AT290" s="174" t="e">
        <f t="shared" si="285"/>
        <v>#DIV/0!</v>
      </c>
      <c r="AU290" s="174">
        <f t="shared" si="286"/>
        <v>0.77271287333333338</v>
      </c>
      <c r="AV290" s="174">
        <f t="shared" si="287"/>
        <v>0.77271287333333338</v>
      </c>
    </row>
    <row r="291" spans="1:48" x14ac:dyDescent="0.25">
      <c r="A291" s="7" t="s">
        <v>517</v>
      </c>
      <c r="B291" s="8" t="s">
        <v>516</v>
      </c>
      <c r="C291" s="9">
        <f>+C292</f>
        <v>0</v>
      </c>
      <c r="D291" s="9">
        <f t="shared" si="311"/>
        <v>0</v>
      </c>
      <c r="E291" s="9">
        <f t="shared" si="311"/>
        <v>150000000</v>
      </c>
      <c r="F291" s="9">
        <f t="shared" si="311"/>
        <v>0</v>
      </c>
      <c r="G291" s="9">
        <f t="shared" si="311"/>
        <v>0</v>
      </c>
      <c r="H291" s="9">
        <f t="shared" si="311"/>
        <v>0</v>
      </c>
      <c r="I291" s="9">
        <f t="shared" si="311"/>
        <v>0</v>
      </c>
      <c r="J291" s="9">
        <f t="shared" si="311"/>
        <v>0</v>
      </c>
      <c r="K291" s="9">
        <f t="shared" si="311"/>
        <v>0</v>
      </c>
      <c r="L291" s="9">
        <f t="shared" si="311"/>
        <v>0</v>
      </c>
      <c r="M291" s="9">
        <f t="shared" si="311"/>
        <v>0</v>
      </c>
      <c r="N291" s="9">
        <f t="shared" si="311"/>
        <v>0</v>
      </c>
      <c r="O291" s="9">
        <f t="shared" si="292"/>
        <v>150000000</v>
      </c>
      <c r="P291" s="9">
        <f t="shared" si="311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f t="shared" si="312"/>
        <v>0</v>
      </c>
      <c r="X291" s="9"/>
      <c r="Y291" s="9"/>
      <c r="Z291" s="9"/>
      <c r="AA291" s="9"/>
      <c r="AB291" s="9"/>
      <c r="AC291" s="9"/>
      <c r="AD291" s="9"/>
      <c r="AE291" s="9"/>
      <c r="AF291" s="9">
        <f t="shared" si="271"/>
        <v>34243069</v>
      </c>
      <c r="AG291" s="9">
        <f t="shared" si="272"/>
        <v>34243069</v>
      </c>
      <c r="AI291" s="175" t="e">
        <f t="shared" si="290"/>
        <v>#DIV/0!</v>
      </c>
      <c r="AJ291" s="175" t="e">
        <f t="shared" si="275"/>
        <v>#DIV/0!</v>
      </c>
      <c r="AK291" s="175">
        <f t="shared" si="276"/>
        <v>1</v>
      </c>
      <c r="AL291" s="175" t="e">
        <f t="shared" si="277"/>
        <v>#DIV/0!</v>
      </c>
      <c r="AM291" s="175" t="e">
        <f t="shared" si="278"/>
        <v>#DIV/0!</v>
      </c>
      <c r="AN291" s="175" t="e">
        <f t="shared" si="279"/>
        <v>#DIV/0!</v>
      </c>
      <c r="AO291" s="175" t="e">
        <f t="shared" si="280"/>
        <v>#DIV/0!</v>
      </c>
      <c r="AP291" s="175" t="e">
        <f t="shared" si="281"/>
        <v>#DIV/0!</v>
      </c>
      <c r="AQ291" s="175" t="e">
        <f t="shared" si="282"/>
        <v>#DIV/0!</v>
      </c>
      <c r="AR291" s="175" t="e">
        <f t="shared" si="283"/>
        <v>#DIV/0!</v>
      </c>
      <c r="AS291" s="175" t="e">
        <f t="shared" si="284"/>
        <v>#DIV/0!</v>
      </c>
      <c r="AT291" s="175" t="e">
        <f t="shared" si="285"/>
        <v>#DIV/0!</v>
      </c>
      <c r="AU291" s="175">
        <f t="shared" si="286"/>
        <v>0.77171287333333338</v>
      </c>
      <c r="AV291" s="175">
        <f t="shared" si="287"/>
        <v>0.77171287333333338</v>
      </c>
    </row>
    <row r="292" spans="1:48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292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61">
        <v>0</v>
      </c>
      <c r="X292" s="21"/>
      <c r="Y292" s="21"/>
      <c r="Z292" s="21"/>
      <c r="AA292" s="21"/>
      <c r="AB292" s="21"/>
      <c r="AC292" s="21"/>
      <c r="AD292" s="21"/>
      <c r="AE292" s="21"/>
      <c r="AF292" s="261">
        <f t="shared" si="271"/>
        <v>34243069</v>
      </c>
      <c r="AG292" s="21">
        <f t="shared" si="272"/>
        <v>34243069</v>
      </c>
      <c r="AI292" s="176" t="e">
        <f t="shared" si="290"/>
        <v>#DIV/0!</v>
      </c>
      <c r="AJ292" s="176" t="e">
        <f t="shared" si="275"/>
        <v>#DIV/0!</v>
      </c>
      <c r="AK292" s="176">
        <f t="shared" si="276"/>
        <v>1</v>
      </c>
      <c r="AL292" s="176" t="e">
        <f t="shared" si="277"/>
        <v>#DIV/0!</v>
      </c>
      <c r="AM292" s="176" t="e">
        <f t="shared" si="278"/>
        <v>#DIV/0!</v>
      </c>
      <c r="AN292" s="176" t="e">
        <f t="shared" si="279"/>
        <v>#DIV/0!</v>
      </c>
      <c r="AO292" s="176" t="e">
        <f t="shared" si="280"/>
        <v>#DIV/0!</v>
      </c>
      <c r="AP292" s="176" t="e">
        <f t="shared" si="281"/>
        <v>#DIV/0!</v>
      </c>
      <c r="AQ292" s="176" t="e">
        <f t="shared" si="282"/>
        <v>#DIV/0!</v>
      </c>
      <c r="AR292" s="176" t="e">
        <f t="shared" si="283"/>
        <v>#DIV/0!</v>
      </c>
      <c r="AS292" s="176" t="e">
        <f t="shared" si="284"/>
        <v>#DIV/0!</v>
      </c>
      <c r="AT292" s="176" t="e">
        <f t="shared" si="285"/>
        <v>#DIV/0!</v>
      </c>
      <c r="AU292" s="176">
        <f t="shared" si="286"/>
        <v>0.77171287333333338</v>
      </c>
      <c r="AV292" s="176">
        <f t="shared" si="287"/>
        <v>0.77171287333333338</v>
      </c>
    </row>
    <row r="293" spans="1:48" x14ac:dyDescent="0.25">
      <c r="A293" s="4" t="s">
        <v>520</v>
      </c>
      <c r="B293" s="5" t="s">
        <v>521</v>
      </c>
      <c r="C293" s="6">
        <f t="shared" ref="C293:N295" si="313">+C294</f>
        <v>6000000</v>
      </c>
      <c r="D293" s="6">
        <f t="shared" si="313"/>
        <v>9230300</v>
      </c>
      <c r="E293" s="6">
        <f t="shared" si="313"/>
        <v>9000000</v>
      </c>
      <c r="F293" s="6">
        <f t="shared" si="313"/>
        <v>6000000</v>
      </c>
      <c r="G293" s="6">
        <f t="shared" si="313"/>
        <v>6000000</v>
      </c>
      <c r="H293" s="6">
        <f t="shared" si="313"/>
        <v>6000000</v>
      </c>
      <c r="I293" s="6">
        <f t="shared" si="313"/>
        <v>6000000</v>
      </c>
      <c r="J293" s="6">
        <f t="shared" si="313"/>
        <v>6000000</v>
      </c>
      <c r="K293" s="6">
        <f t="shared" si="313"/>
        <v>6000000</v>
      </c>
      <c r="L293" s="6">
        <f t="shared" si="313"/>
        <v>6000000</v>
      </c>
      <c r="M293" s="6">
        <f t="shared" si="313"/>
        <v>6000000</v>
      </c>
      <c r="N293" s="6">
        <f t="shared" si="313"/>
        <v>6000000</v>
      </c>
      <c r="O293" s="6">
        <f t="shared" si="292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f t="shared" ref="W293:W295" si="314">+W294</f>
        <v>0</v>
      </c>
      <c r="X293" s="6"/>
      <c r="Y293" s="6"/>
      <c r="Z293" s="6"/>
      <c r="AA293" s="6"/>
      <c r="AB293" s="6"/>
      <c r="AC293" s="6"/>
      <c r="AD293" s="6"/>
      <c r="AE293" s="6"/>
      <c r="AF293" s="6">
        <f t="shared" si="271"/>
        <v>1775470</v>
      </c>
      <c r="AG293" s="6">
        <f t="shared" si="272"/>
        <v>1775470</v>
      </c>
      <c r="AI293" s="174">
        <f t="shared" si="290"/>
        <v>0.89166666666666672</v>
      </c>
      <c r="AJ293" s="174">
        <f t="shared" si="275"/>
        <v>0.98374917391634076</v>
      </c>
      <c r="AK293" s="174">
        <f t="shared" si="276"/>
        <v>0.89161444444444449</v>
      </c>
      <c r="AL293" s="174">
        <f t="shared" si="277"/>
        <v>1</v>
      </c>
      <c r="AM293" s="174">
        <f t="shared" si="278"/>
        <v>1</v>
      </c>
      <c r="AN293" s="174">
        <f t="shared" si="279"/>
        <v>1</v>
      </c>
      <c r="AO293" s="174">
        <f t="shared" si="280"/>
        <v>1</v>
      </c>
      <c r="AP293" s="174">
        <f t="shared" si="281"/>
        <v>1</v>
      </c>
      <c r="AQ293" s="174">
        <f t="shared" si="282"/>
        <v>1</v>
      </c>
      <c r="AR293" s="174">
        <f t="shared" si="283"/>
        <v>1</v>
      </c>
      <c r="AS293" s="174">
        <f t="shared" si="284"/>
        <v>1</v>
      </c>
      <c r="AT293" s="174">
        <f t="shared" si="285"/>
        <v>1</v>
      </c>
      <c r="AU293" s="174">
        <f t="shared" si="286"/>
        <v>0.94126852859548205</v>
      </c>
      <c r="AV293" s="174">
        <f t="shared" si="287"/>
        <v>0.97730457380324498</v>
      </c>
    </row>
    <row r="294" spans="1:48" x14ac:dyDescent="0.25">
      <c r="A294" s="4" t="s">
        <v>522</v>
      </c>
      <c r="B294" s="5" t="s">
        <v>521</v>
      </c>
      <c r="C294" s="6">
        <f t="shared" si="313"/>
        <v>6000000</v>
      </c>
      <c r="D294" s="6">
        <f t="shared" si="313"/>
        <v>9230300</v>
      </c>
      <c r="E294" s="6">
        <f t="shared" si="313"/>
        <v>9000000</v>
      </c>
      <c r="F294" s="6">
        <f t="shared" si="313"/>
        <v>6000000</v>
      </c>
      <c r="G294" s="6">
        <f t="shared" si="313"/>
        <v>6000000</v>
      </c>
      <c r="H294" s="6">
        <f t="shared" si="313"/>
        <v>6000000</v>
      </c>
      <c r="I294" s="6">
        <f t="shared" si="313"/>
        <v>6000000</v>
      </c>
      <c r="J294" s="6">
        <f t="shared" si="313"/>
        <v>6000000</v>
      </c>
      <c r="K294" s="6">
        <f t="shared" si="313"/>
        <v>6000000</v>
      </c>
      <c r="L294" s="6">
        <f t="shared" si="313"/>
        <v>6000000</v>
      </c>
      <c r="M294" s="6">
        <f t="shared" si="313"/>
        <v>6000000</v>
      </c>
      <c r="N294" s="6">
        <f t="shared" si="313"/>
        <v>6000000</v>
      </c>
      <c r="O294" s="6">
        <f t="shared" si="292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f t="shared" si="314"/>
        <v>0</v>
      </c>
      <c r="X294" s="6"/>
      <c r="Y294" s="6"/>
      <c r="Z294" s="6"/>
      <c r="AA294" s="6"/>
      <c r="AB294" s="6"/>
      <c r="AC294" s="6"/>
      <c r="AD294" s="6"/>
      <c r="AE294" s="6"/>
      <c r="AF294" s="6">
        <f t="shared" si="271"/>
        <v>1775470</v>
      </c>
      <c r="AG294" s="6">
        <f t="shared" si="272"/>
        <v>1775470</v>
      </c>
      <c r="AI294" s="174">
        <f t="shared" si="290"/>
        <v>0.89166666666666672</v>
      </c>
      <c r="AJ294" s="174">
        <f t="shared" si="275"/>
        <v>0.98374917391634076</v>
      </c>
      <c r="AK294" s="174">
        <f t="shared" si="276"/>
        <v>0.89161444444444449</v>
      </c>
      <c r="AL294" s="174">
        <f t="shared" si="277"/>
        <v>1</v>
      </c>
      <c r="AM294" s="174">
        <f t="shared" si="278"/>
        <v>1</v>
      </c>
      <c r="AN294" s="174">
        <f t="shared" si="279"/>
        <v>1</v>
      </c>
      <c r="AO294" s="174">
        <f t="shared" si="280"/>
        <v>1</v>
      </c>
      <c r="AP294" s="174">
        <f t="shared" si="281"/>
        <v>1</v>
      </c>
      <c r="AQ294" s="174">
        <f t="shared" si="282"/>
        <v>1</v>
      </c>
      <c r="AR294" s="174">
        <f t="shared" si="283"/>
        <v>1</v>
      </c>
      <c r="AS294" s="174">
        <f t="shared" si="284"/>
        <v>1</v>
      </c>
      <c r="AT294" s="174">
        <f t="shared" si="285"/>
        <v>1</v>
      </c>
      <c r="AU294" s="174">
        <f t="shared" si="286"/>
        <v>0.94126852859548205</v>
      </c>
      <c r="AV294" s="174">
        <f t="shared" si="287"/>
        <v>0.97730457380324498</v>
      </c>
    </row>
    <row r="295" spans="1:48" x14ac:dyDescent="0.25">
      <c r="A295" s="7" t="s">
        <v>523</v>
      </c>
      <c r="B295" s="8" t="s">
        <v>521</v>
      </c>
      <c r="C295" s="9">
        <f t="shared" si="313"/>
        <v>6000000</v>
      </c>
      <c r="D295" s="9">
        <f t="shared" si="313"/>
        <v>9230300</v>
      </c>
      <c r="E295" s="9">
        <f t="shared" si="313"/>
        <v>9000000</v>
      </c>
      <c r="F295" s="9">
        <f t="shared" si="313"/>
        <v>6000000</v>
      </c>
      <c r="G295" s="9">
        <f t="shared" si="313"/>
        <v>6000000</v>
      </c>
      <c r="H295" s="9">
        <f t="shared" si="313"/>
        <v>6000000</v>
      </c>
      <c r="I295" s="9">
        <f t="shared" si="313"/>
        <v>6000000</v>
      </c>
      <c r="J295" s="9">
        <f t="shared" si="313"/>
        <v>6000000</v>
      </c>
      <c r="K295" s="9">
        <f t="shared" si="313"/>
        <v>6000000</v>
      </c>
      <c r="L295" s="9">
        <f t="shared" si="313"/>
        <v>6000000</v>
      </c>
      <c r="M295" s="9">
        <f t="shared" si="313"/>
        <v>6000000</v>
      </c>
      <c r="N295" s="9">
        <f t="shared" si="313"/>
        <v>6000000</v>
      </c>
      <c r="O295" s="9">
        <f t="shared" si="292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f t="shared" si="314"/>
        <v>0</v>
      </c>
      <c r="X295" s="9"/>
      <c r="Y295" s="9"/>
      <c r="Z295" s="9"/>
      <c r="AA295" s="9"/>
      <c r="AB295" s="9"/>
      <c r="AC295" s="9"/>
      <c r="AD295" s="9"/>
      <c r="AE295" s="9"/>
      <c r="AF295" s="9">
        <f t="shared" si="271"/>
        <v>1625470</v>
      </c>
      <c r="AG295" s="9">
        <f t="shared" si="272"/>
        <v>1625470</v>
      </c>
      <c r="AI295" s="175">
        <f t="shared" si="290"/>
        <v>0.89166666666666672</v>
      </c>
      <c r="AJ295" s="175">
        <f t="shared" si="275"/>
        <v>1</v>
      </c>
      <c r="AK295" s="175">
        <f t="shared" si="276"/>
        <v>0.89161444444444449</v>
      </c>
      <c r="AL295" s="175">
        <f t="shared" si="277"/>
        <v>1</v>
      </c>
      <c r="AM295" s="175">
        <f t="shared" si="278"/>
        <v>1</v>
      </c>
      <c r="AN295" s="175">
        <f t="shared" si="279"/>
        <v>1</v>
      </c>
      <c r="AO295" s="175">
        <f t="shared" si="280"/>
        <v>1</v>
      </c>
      <c r="AP295" s="175">
        <f t="shared" si="281"/>
        <v>1</v>
      </c>
      <c r="AQ295" s="175">
        <f t="shared" si="282"/>
        <v>1</v>
      </c>
      <c r="AR295" s="175">
        <f t="shared" si="283"/>
        <v>1</v>
      </c>
      <c r="AS295" s="175">
        <f t="shared" si="284"/>
        <v>1</v>
      </c>
      <c r="AT295" s="175">
        <f t="shared" si="285"/>
        <v>1</v>
      </c>
      <c r="AU295" s="175">
        <f t="shared" si="286"/>
        <v>0.94623043767346005</v>
      </c>
      <c r="AV295" s="175">
        <f t="shared" si="287"/>
        <v>0.9792219894337616</v>
      </c>
    </row>
    <row r="296" spans="1:48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292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61">
        <v>0</v>
      </c>
      <c r="X296" s="21"/>
      <c r="Y296" s="21"/>
      <c r="Z296" s="21"/>
      <c r="AA296" s="21"/>
      <c r="AB296" s="21"/>
      <c r="AC296" s="21"/>
      <c r="AD296" s="21"/>
      <c r="AE296" s="21"/>
      <c r="AF296" s="261">
        <f t="shared" si="271"/>
        <v>1625470</v>
      </c>
      <c r="AG296" s="21">
        <f t="shared" si="272"/>
        <v>1625470</v>
      </c>
      <c r="AI296" s="176">
        <f t="shared" si="290"/>
        <v>0.89166666666666672</v>
      </c>
      <c r="AJ296" s="176">
        <f t="shared" si="275"/>
        <v>1</v>
      </c>
      <c r="AK296" s="176">
        <f t="shared" si="276"/>
        <v>0.89161444444444449</v>
      </c>
      <c r="AL296" s="176">
        <f t="shared" si="277"/>
        <v>1</v>
      </c>
      <c r="AM296" s="176">
        <f t="shared" si="278"/>
        <v>1</v>
      </c>
      <c r="AN296" s="176">
        <f t="shared" si="279"/>
        <v>1</v>
      </c>
      <c r="AO296" s="176">
        <f t="shared" si="280"/>
        <v>1</v>
      </c>
      <c r="AP296" s="176">
        <f t="shared" si="281"/>
        <v>1</v>
      </c>
      <c r="AQ296" s="176">
        <f t="shared" si="282"/>
        <v>1</v>
      </c>
      <c r="AR296" s="176">
        <f t="shared" si="283"/>
        <v>1</v>
      </c>
      <c r="AS296" s="176">
        <f t="shared" si="284"/>
        <v>1</v>
      </c>
      <c r="AT296" s="176">
        <f t="shared" si="285"/>
        <v>1</v>
      </c>
      <c r="AU296" s="176">
        <f t="shared" si="286"/>
        <v>0.94623043767346005</v>
      </c>
      <c r="AV296" s="176">
        <f t="shared" si="287"/>
        <v>0.9792219894337616</v>
      </c>
    </row>
    <row r="297" spans="1:48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315">+D298</f>
        <v>317188884</v>
      </c>
      <c r="E297" s="6">
        <f t="shared" si="315"/>
        <v>0</v>
      </c>
      <c r="F297" s="6">
        <f t="shared" si="315"/>
        <v>0</v>
      </c>
      <c r="G297" s="6">
        <f t="shared" si="315"/>
        <v>0</v>
      </c>
      <c r="H297" s="6">
        <f t="shared" si="315"/>
        <v>0</v>
      </c>
      <c r="I297" s="6">
        <f t="shared" si="315"/>
        <v>0</v>
      </c>
      <c r="J297" s="6">
        <f t="shared" si="315"/>
        <v>0</v>
      </c>
      <c r="K297" s="6">
        <f t="shared" si="315"/>
        <v>0</v>
      </c>
      <c r="L297" s="6">
        <f t="shared" si="315"/>
        <v>0</v>
      </c>
      <c r="M297" s="6">
        <f t="shared" si="315"/>
        <v>0</v>
      </c>
      <c r="N297" s="6">
        <f t="shared" si="315"/>
        <v>0</v>
      </c>
      <c r="O297" s="6">
        <f t="shared" si="292"/>
        <v>317188884</v>
      </c>
      <c r="P297" s="6">
        <f t="shared" si="315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f t="shared" ref="W297:W298" si="316">+W298</f>
        <v>0</v>
      </c>
      <c r="X297" s="6"/>
      <c r="Y297" s="6"/>
      <c r="Z297" s="6"/>
      <c r="AA297" s="6"/>
      <c r="AB297" s="6"/>
      <c r="AC297" s="6"/>
      <c r="AD297" s="6"/>
      <c r="AE297" s="6"/>
      <c r="AF297" s="6">
        <f t="shared" si="271"/>
        <v>308323894</v>
      </c>
      <c r="AG297" s="6">
        <f t="shared" si="272"/>
        <v>308323894</v>
      </c>
      <c r="AI297" s="174" t="e">
        <f t="shared" si="290"/>
        <v>#DIV/0!</v>
      </c>
      <c r="AJ297" s="174">
        <f t="shared" si="275"/>
        <v>1</v>
      </c>
      <c r="AK297" s="174" t="e">
        <f t="shared" si="276"/>
        <v>#DIV/0!</v>
      </c>
      <c r="AL297" s="174" t="e">
        <f t="shared" si="277"/>
        <v>#DIV/0!</v>
      </c>
      <c r="AM297" s="174" t="e">
        <f t="shared" si="278"/>
        <v>#DIV/0!</v>
      </c>
      <c r="AN297" s="174" t="e">
        <f t="shared" si="279"/>
        <v>#DIV/0!</v>
      </c>
      <c r="AO297" s="174" t="e">
        <f t="shared" si="280"/>
        <v>#DIV/0!</v>
      </c>
      <c r="AP297" s="174" t="e">
        <f t="shared" si="281"/>
        <v>#DIV/0!</v>
      </c>
      <c r="AQ297" s="174" t="e">
        <f t="shared" si="282"/>
        <v>#DIV/0!</v>
      </c>
      <c r="AR297" s="174" t="e">
        <f t="shared" si="283"/>
        <v>#DIV/0!</v>
      </c>
      <c r="AS297" s="174" t="e">
        <f t="shared" si="284"/>
        <v>#DIV/0!</v>
      </c>
      <c r="AT297" s="174" t="e">
        <f t="shared" si="285"/>
        <v>#DIV/0!</v>
      </c>
      <c r="AU297" s="174">
        <f t="shared" si="286"/>
        <v>2.7948614996230449E-2</v>
      </c>
      <c r="AV297" s="174">
        <f t="shared" si="287"/>
        <v>2.7948614996230449E-2</v>
      </c>
    </row>
    <row r="298" spans="1:48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317">+D299</f>
        <v>317188884</v>
      </c>
      <c r="E298" s="9">
        <f t="shared" si="317"/>
        <v>0</v>
      </c>
      <c r="F298" s="9">
        <f t="shared" si="317"/>
        <v>0</v>
      </c>
      <c r="G298" s="9">
        <f t="shared" si="317"/>
        <v>0</v>
      </c>
      <c r="H298" s="9">
        <f t="shared" si="317"/>
        <v>0</v>
      </c>
      <c r="I298" s="9">
        <f t="shared" si="317"/>
        <v>0</v>
      </c>
      <c r="J298" s="9">
        <f t="shared" si="317"/>
        <v>0</v>
      </c>
      <c r="K298" s="9">
        <f t="shared" si="317"/>
        <v>0</v>
      </c>
      <c r="L298" s="9">
        <f t="shared" si="317"/>
        <v>0</v>
      </c>
      <c r="M298" s="9">
        <f t="shared" si="317"/>
        <v>0</v>
      </c>
      <c r="N298" s="9">
        <f t="shared" si="317"/>
        <v>0</v>
      </c>
      <c r="O298" s="9">
        <f t="shared" si="292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f t="shared" si="316"/>
        <v>0</v>
      </c>
      <c r="X298" s="9"/>
      <c r="Y298" s="9"/>
      <c r="Z298" s="9"/>
      <c r="AA298" s="9"/>
      <c r="AB298" s="9"/>
      <c r="AC298" s="9"/>
      <c r="AD298" s="9"/>
      <c r="AE298" s="9"/>
      <c r="AF298" s="9">
        <f t="shared" si="271"/>
        <v>859556758.20000005</v>
      </c>
      <c r="AG298" s="9">
        <f t="shared" si="272"/>
        <v>859556758.20000005</v>
      </c>
      <c r="AI298" s="175" t="e">
        <f t="shared" si="290"/>
        <v>#DIV/0!</v>
      </c>
      <c r="AJ298" s="175">
        <f t="shared" si="275"/>
        <v>-0.73786942735357663</v>
      </c>
      <c r="AK298" s="175" t="e">
        <f t="shared" si="276"/>
        <v>#DIV/0!</v>
      </c>
      <c r="AL298" s="175" t="e">
        <f t="shared" si="277"/>
        <v>#DIV/0!</v>
      </c>
      <c r="AM298" s="175" t="e">
        <f t="shared" si="278"/>
        <v>#DIV/0!</v>
      </c>
      <c r="AN298" s="175" t="e">
        <f t="shared" si="279"/>
        <v>#DIV/0!</v>
      </c>
      <c r="AO298" s="175" t="e">
        <f t="shared" si="280"/>
        <v>#DIV/0!</v>
      </c>
      <c r="AP298" s="175" t="e">
        <f t="shared" si="281"/>
        <v>#DIV/0!</v>
      </c>
      <c r="AQ298" s="175" t="e">
        <f t="shared" si="282"/>
        <v>#DIV/0!</v>
      </c>
      <c r="AR298" s="175" t="e">
        <f t="shared" si="283"/>
        <v>#DIV/0!</v>
      </c>
      <c r="AS298" s="175" t="e">
        <f t="shared" si="284"/>
        <v>#DIV/0!</v>
      </c>
      <c r="AT298" s="175" t="e">
        <f t="shared" si="285"/>
        <v>#DIV/0!</v>
      </c>
      <c r="AU298" s="175">
        <f t="shared" si="286"/>
        <v>-1.7099208123573462</v>
      </c>
      <c r="AV298" s="175">
        <f t="shared" si="287"/>
        <v>-1.7099208123573462</v>
      </c>
    </row>
    <row r="299" spans="1:48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292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61">
        <v>0</v>
      </c>
      <c r="X299" s="21"/>
      <c r="Y299" s="21"/>
      <c r="Z299" s="21"/>
      <c r="AA299" s="21"/>
      <c r="AB299" s="21"/>
      <c r="AC299" s="21"/>
      <c r="AD299" s="21"/>
      <c r="AE299" s="21"/>
      <c r="AF299" s="261">
        <f t="shared" si="271"/>
        <v>615132882</v>
      </c>
      <c r="AG299" s="21">
        <f t="shared" si="272"/>
        <v>615132882</v>
      </c>
      <c r="AI299" s="176" t="e">
        <f t="shared" si="290"/>
        <v>#DIV/0!</v>
      </c>
      <c r="AJ299" s="176">
        <f t="shared" si="275"/>
        <v>3.2724652481831616E-2</v>
      </c>
      <c r="AK299" s="176" t="e">
        <f t="shared" si="276"/>
        <v>#DIV/0!</v>
      </c>
      <c r="AL299" s="176" t="e">
        <f t="shared" si="277"/>
        <v>#DIV/0!</v>
      </c>
      <c r="AM299" s="176" t="e">
        <f t="shared" si="278"/>
        <v>#DIV/0!</v>
      </c>
      <c r="AN299" s="176" t="e">
        <f t="shared" si="279"/>
        <v>#DIV/0!</v>
      </c>
      <c r="AO299" s="176" t="e">
        <f t="shared" si="280"/>
        <v>#DIV/0!</v>
      </c>
      <c r="AP299" s="176" t="e">
        <f t="shared" si="281"/>
        <v>#DIV/0!</v>
      </c>
      <c r="AQ299" s="176" t="e">
        <f t="shared" si="282"/>
        <v>#DIV/0!</v>
      </c>
      <c r="AR299" s="176" t="e">
        <f t="shared" si="283"/>
        <v>#DIV/0!</v>
      </c>
      <c r="AS299" s="176" t="e">
        <f t="shared" si="284"/>
        <v>#DIV/0!</v>
      </c>
      <c r="AT299" s="176" t="e">
        <f t="shared" si="285"/>
        <v>#DIV/0!</v>
      </c>
      <c r="AU299" s="176">
        <f t="shared" si="286"/>
        <v>-0.93932673252193799</v>
      </c>
      <c r="AV299" s="176">
        <f t="shared" si="287"/>
        <v>-0.93932673252193799</v>
      </c>
    </row>
    <row r="300" spans="1:48" x14ac:dyDescent="0.25">
      <c r="A300" s="4">
        <v>3</v>
      </c>
      <c r="B300" s="5" t="s">
        <v>530</v>
      </c>
      <c r="C300" s="6">
        <f t="shared" ref="C300:N300" si="318">+C301+C342+C429+C441+C577</f>
        <v>2553549315.7502537</v>
      </c>
      <c r="D300" s="6">
        <f t="shared" si="318"/>
        <v>1400640224.8411632</v>
      </c>
      <c r="E300" s="6">
        <f t="shared" si="318"/>
        <v>1427556891.5078297</v>
      </c>
      <c r="F300" s="6">
        <f t="shared" si="318"/>
        <v>1210286428.5078299</v>
      </c>
      <c r="G300" s="6">
        <f t="shared" si="318"/>
        <v>387556891.50782979</v>
      </c>
      <c r="H300" s="6">
        <f t="shared" si="318"/>
        <v>362556891.50782979</v>
      </c>
      <c r="I300" s="6">
        <f t="shared" si="318"/>
        <v>315056891.50782979</v>
      </c>
      <c r="J300" s="6">
        <f t="shared" si="318"/>
        <v>2119234886.5078299</v>
      </c>
      <c r="K300" s="6">
        <f t="shared" si="318"/>
        <v>3980947137.1733017</v>
      </c>
      <c r="L300" s="6">
        <f t="shared" si="318"/>
        <v>306723558.17449647</v>
      </c>
      <c r="M300" s="6">
        <f t="shared" si="318"/>
        <v>321723558.17449647</v>
      </c>
      <c r="N300" s="6">
        <f t="shared" si="318"/>
        <v>293390224.8411631</v>
      </c>
      <c r="O300" s="6">
        <f t="shared" si="292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f>+W301+W342+W429+W441+W577+W466</f>
        <v>966363902.67999995</v>
      </c>
      <c r="X300" s="6"/>
      <c r="Y300" s="6"/>
      <c r="Z300" s="6"/>
      <c r="AA300" s="6"/>
      <c r="AB300" s="6"/>
      <c r="AC300" s="6"/>
      <c r="AD300" s="6"/>
      <c r="AE300" s="6"/>
      <c r="AF300" s="6">
        <f t="shared" si="271"/>
        <v>3891845933.2199998</v>
      </c>
      <c r="AG300" s="6">
        <f t="shared" si="272"/>
        <v>3891845933.2199998</v>
      </c>
      <c r="AI300" s="174">
        <f t="shared" si="290"/>
        <v>0.39156903663968501</v>
      </c>
      <c r="AJ300" s="174">
        <f t="shared" si="275"/>
        <v>0.98109180963797948</v>
      </c>
      <c r="AK300" s="174">
        <f t="shared" si="276"/>
        <v>5.7592733170157409E-2</v>
      </c>
      <c r="AL300" s="174">
        <f t="shared" si="277"/>
        <v>0.20154115594650074</v>
      </c>
      <c r="AM300" s="174">
        <f t="shared" si="278"/>
        <v>1</v>
      </c>
      <c r="AN300" s="174">
        <f t="shared" si="279"/>
        <v>1</v>
      </c>
      <c r="AO300" s="174">
        <f t="shared" si="280"/>
        <v>1</v>
      </c>
      <c r="AP300" s="174">
        <f t="shared" si="281"/>
        <v>1</v>
      </c>
      <c r="AQ300" s="174">
        <f t="shared" si="282"/>
        <v>1</v>
      </c>
      <c r="AR300" s="174">
        <f t="shared" si="283"/>
        <v>1</v>
      </c>
      <c r="AS300" s="174">
        <f t="shared" si="284"/>
        <v>1</v>
      </c>
      <c r="AT300" s="174">
        <f t="shared" si="285"/>
        <v>1</v>
      </c>
      <c r="AU300" s="174">
        <f t="shared" si="286"/>
        <v>0.40961369345152354</v>
      </c>
      <c r="AV300" s="174">
        <f t="shared" si="287"/>
        <v>0.73401314665277684</v>
      </c>
    </row>
    <row r="301" spans="1:48" x14ac:dyDescent="0.25">
      <c r="A301" s="4">
        <v>301</v>
      </c>
      <c r="B301" s="5" t="s">
        <v>531</v>
      </c>
      <c r="C301" s="6">
        <f t="shared" ref="C301:N301" si="319">+C302+C314+C326+C337</f>
        <v>579166666.66666663</v>
      </c>
      <c r="D301" s="6">
        <f t="shared" si="319"/>
        <v>129166666.66666667</v>
      </c>
      <c r="E301" s="6">
        <f t="shared" si="319"/>
        <v>190833333.33333334</v>
      </c>
      <c r="F301" s="6">
        <f t="shared" si="319"/>
        <v>590833333.33333337</v>
      </c>
      <c r="G301" s="6">
        <f t="shared" si="319"/>
        <v>150833333.33333334</v>
      </c>
      <c r="H301" s="6">
        <f t="shared" si="319"/>
        <v>150833333.33333334</v>
      </c>
      <c r="I301" s="6">
        <f t="shared" si="319"/>
        <v>109166666.66666666</v>
      </c>
      <c r="J301" s="6">
        <f t="shared" si="319"/>
        <v>109166666.66666666</v>
      </c>
      <c r="K301" s="6">
        <f t="shared" si="319"/>
        <v>2275833333.3333335</v>
      </c>
      <c r="L301" s="6">
        <f t="shared" si="319"/>
        <v>100833333.33333333</v>
      </c>
      <c r="M301" s="6">
        <f t="shared" si="319"/>
        <v>100833333.33333333</v>
      </c>
      <c r="N301" s="6">
        <f t="shared" si="319"/>
        <v>87500000</v>
      </c>
      <c r="O301" s="6">
        <f t="shared" si="292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f t="shared" ref="W301" si="320">+W302+W314+W326+W337</f>
        <v>42122664.75</v>
      </c>
      <c r="X301" s="6"/>
      <c r="Y301" s="6"/>
      <c r="Z301" s="6"/>
      <c r="AA301" s="6"/>
      <c r="AB301" s="6"/>
      <c r="AC301" s="6"/>
      <c r="AD301" s="6"/>
      <c r="AE301" s="6"/>
      <c r="AF301" s="6">
        <f t="shared" si="271"/>
        <v>776169322.75</v>
      </c>
      <c r="AG301" s="6">
        <f t="shared" si="272"/>
        <v>776169322.75</v>
      </c>
      <c r="AI301" s="174">
        <f t="shared" si="290"/>
        <v>0.2487893174100719</v>
      </c>
      <c r="AJ301" s="174">
        <f t="shared" si="275"/>
        <v>1</v>
      </c>
      <c r="AK301" s="174">
        <f t="shared" si="276"/>
        <v>-0.56665748995633181</v>
      </c>
      <c r="AL301" s="174">
        <f t="shared" si="277"/>
        <v>0.92870635021156556</v>
      </c>
      <c r="AM301" s="174">
        <f t="shared" si="278"/>
        <v>1</v>
      </c>
      <c r="AN301" s="174">
        <f t="shared" si="279"/>
        <v>1</v>
      </c>
      <c r="AO301" s="174">
        <f t="shared" si="280"/>
        <v>1</v>
      </c>
      <c r="AP301" s="174">
        <f t="shared" si="281"/>
        <v>1</v>
      </c>
      <c r="AQ301" s="174">
        <f t="shared" si="282"/>
        <v>1</v>
      </c>
      <c r="AR301" s="174">
        <f t="shared" si="283"/>
        <v>1</v>
      </c>
      <c r="AS301" s="174">
        <f t="shared" si="284"/>
        <v>1</v>
      </c>
      <c r="AT301" s="174">
        <f t="shared" si="285"/>
        <v>1</v>
      </c>
      <c r="AU301" s="174">
        <f t="shared" si="286"/>
        <v>0.47908099144295302</v>
      </c>
      <c r="AV301" s="174">
        <f t="shared" si="287"/>
        <v>0.83034550322404377</v>
      </c>
    </row>
    <row r="302" spans="1:48" x14ac:dyDescent="0.25">
      <c r="A302" s="4">
        <v>30101</v>
      </c>
      <c r="B302" s="5" t="s">
        <v>840</v>
      </c>
      <c r="C302" s="6">
        <f t="shared" ref="C302:N302" si="321">+C303+C305</f>
        <v>16666666.666666666</v>
      </c>
      <c r="D302" s="6">
        <f t="shared" si="321"/>
        <v>16666666.666666666</v>
      </c>
      <c r="E302" s="6">
        <f t="shared" si="321"/>
        <v>65000000</v>
      </c>
      <c r="F302" s="6">
        <f t="shared" si="321"/>
        <v>65000000</v>
      </c>
      <c r="G302" s="6">
        <f t="shared" si="321"/>
        <v>25000000</v>
      </c>
      <c r="H302" s="6">
        <f t="shared" si="321"/>
        <v>25000000</v>
      </c>
      <c r="I302" s="6">
        <f t="shared" si="321"/>
        <v>8333333.333333333</v>
      </c>
      <c r="J302" s="6">
        <f t="shared" si="321"/>
        <v>8333333.333333333</v>
      </c>
      <c r="K302" s="6">
        <f t="shared" si="321"/>
        <v>250000000</v>
      </c>
      <c r="L302" s="6">
        <f t="shared" si="321"/>
        <v>0</v>
      </c>
      <c r="M302" s="6">
        <f t="shared" si="321"/>
        <v>0</v>
      </c>
      <c r="N302" s="6">
        <f t="shared" si="321"/>
        <v>0</v>
      </c>
      <c r="O302" s="6">
        <f t="shared" si="292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f t="shared" ref="W302" si="322">+W303+W305</f>
        <v>2500000</v>
      </c>
      <c r="X302" s="6"/>
      <c r="Y302" s="6"/>
      <c r="Z302" s="6"/>
      <c r="AA302" s="6"/>
      <c r="AB302" s="6"/>
      <c r="AC302" s="6"/>
      <c r="AD302" s="6"/>
      <c r="AE302" s="6"/>
      <c r="AF302" s="6">
        <f t="shared" si="271"/>
        <v>5709340</v>
      </c>
      <c r="AG302" s="6">
        <f t="shared" si="272"/>
        <v>5709340</v>
      </c>
      <c r="AI302" s="174">
        <f t="shared" si="290"/>
        <v>1</v>
      </c>
      <c r="AJ302" s="174">
        <f t="shared" si="275"/>
        <v>1</v>
      </c>
      <c r="AK302" s="174">
        <f t="shared" si="276"/>
        <v>0.95062553846153841</v>
      </c>
      <c r="AL302" s="174">
        <f t="shared" si="277"/>
        <v>0.96153846153846156</v>
      </c>
      <c r="AM302" s="174">
        <f t="shared" si="278"/>
        <v>1</v>
      </c>
      <c r="AN302" s="174">
        <f t="shared" si="279"/>
        <v>1</v>
      </c>
      <c r="AO302" s="174">
        <f t="shared" si="280"/>
        <v>1</v>
      </c>
      <c r="AP302" s="174">
        <f t="shared" si="281"/>
        <v>1</v>
      </c>
      <c r="AQ302" s="174">
        <f t="shared" si="282"/>
        <v>1</v>
      </c>
      <c r="AR302" s="174" t="e">
        <f t="shared" si="283"/>
        <v>#DIV/0!</v>
      </c>
      <c r="AS302" s="174" t="e">
        <f t="shared" si="284"/>
        <v>#DIV/0!</v>
      </c>
      <c r="AT302" s="174" t="e">
        <f t="shared" si="285"/>
        <v>#DIV/0!</v>
      </c>
      <c r="AU302" s="174">
        <f t="shared" si="286"/>
        <v>0.96504485714285715</v>
      </c>
      <c r="AV302" s="174">
        <f t="shared" si="287"/>
        <v>0.98810554166666664</v>
      </c>
    </row>
    <row r="303" spans="1:48" x14ac:dyDescent="0.25">
      <c r="A303" s="7">
        <v>3010101</v>
      </c>
      <c r="B303" s="8" t="s">
        <v>840</v>
      </c>
      <c r="C303" s="9">
        <f t="shared" ref="C303:N303" si="323">+C304</f>
        <v>0</v>
      </c>
      <c r="D303" s="9">
        <f t="shared" si="323"/>
        <v>0</v>
      </c>
      <c r="E303" s="9">
        <f t="shared" si="323"/>
        <v>40000000</v>
      </c>
      <c r="F303" s="9">
        <f t="shared" si="323"/>
        <v>40000000</v>
      </c>
      <c r="G303" s="9">
        <f t="shared" si="323"/>
        <v>0</v>
      </c>
      <c r="H303" s="9">
        <f t="shared" si="323"/>
        <v>0</v>
      </c>
      <c r="I303" s="9">
        <f t="shared" si="323"/>
        <v>0</v>
      </c>
      <c r="J303" s="9">
        <f t="shared" si="323"/>
        <v>0</v>
      </c>
      <c r="K303" s="9">
        <f t="shared" si="323"/>
        <v>0</v>
      </c>
      <c r="L303" s="9">
        <f t="shared" si="323"/>
        <v>0</v>
      </c>
      <c r="M303" s="9">
        <f t="shared" si="323"/>
        <v>0</v>
      </c>
      <c r="N303" s="9">
        <f t="shared" si="323"/>
        <v>0</v>
      </c>
      <c r="O303" s="9">
        <f t="shared" si="292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f t="shared" ref="W303" si="324">+W304</f>
        <v>0</v>
      </c>
      <c r="X303" s="9"/>
      <c r="Y303" s="9"/>
      <c r="Z303" s="9"/>
      <c r="AA303" s="9"/>
      <c r="AB303" s="9"/>
      <c r="AC303" s="9"/>
      <c r="AD303" s="9"/>
      <c r="AE303" s="9"/>
      <c r="AF303" s="9">
        <f t="shared" si="271"/>
        <v>26483572</v>
      </c>
      <c r="AG303" s="9">
        <f t="shared" si="272"/>
        <v>26483572</v>
      </c>
      <c r="AI303" s="175" t="e">
        <f t="shared" si="290"/>
        <v>#DIV/0!</v>
      </c>
      <c r="AJ303" s="175" t="e">
        <f t="shared" si="275"/>
        <v>#DIV/0!</v>
      </c>
      <c r="AK303" s="175">
        <f t="shared" si="276"/>
        <v>1</v>
      </c>
      <c r="AL303" s="175">
        <f t="shared" si="277"/>
        <v>1</v>
      </c>
      <c r="AM303" s="175" t="e">
        <f t="shared" si="278"/>
        <v>#DIV/0!</v>
      </c>
      <c r="AN303" s="175" t="e">
        <f t="shared" si="279"/>
        <v>#DIV/0!</v>
      </c>
      <c r="AO303" s="175" t="e">
        <f t="shared" si="280"/>
        <v>#DIV/0!</v>
      </c>
      <c r="AP303" s="175" t="e">
        <f t="shared" si="281"/>
        <v>#DIV/0!</v>
      </c>
      <c r="AQ303" s="175" t="e">
        <f t="shared" si="282"/>
        <v>#DIV/0!</v>
      </c>
      <c r="AR303" s="175" t="e">
        <f t="shared" si="283"/>
        <v>#DIV/0!</v>
      </c>
      <c r="AS303" s="175" t="e">
        <f t="shared" si="284"/>
        <v>#DIV/0!</v>
      </c>
      <c r="AT303" s="175" t="e">
        <f t="shared" si="285"/>
        <v>#DIV/0!</v>
      </c>
      <c r="AU303" s="175">
        <f t="shared" si="286"/>
        <v>0.66895534999999995</v>
      </c>
      <c r="AV303" s="175">
        <f t="shared" si="287"/>
        <v>0.66895534999999995</v>
      </c>
    </row>
    <row r="304" spans="1:48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292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61">
        <v>0</v>
      </c>
      <c r="X304" s="21"/>
      <c r="Y304" s="21"/>
      <c r="Z304" s="21"/>
      <c r="AA304" s="21"/>
      <c r="AB304" s="21"/>
      <c r="AC304" s="21"/>
      <c r="AD304" s="21"/>
      <c r="AE304" s="21"/>
      <c r="AF304" s="261">
        <f t="shared" si="271"/>
        <v>26483572</v>
      </c>
      <c r="AG304" s="21">
        <f t="shared" si="272"/>
        <v>26483572</v>
      </c>
      <c r="AI304" s="176" t="e">
        <f t="shared" si="290"/>
        <v>#DIV/0!</v>
      </c>
      <c r="AJ304" s="176" t="e">
        <f t="shared" si="275"/>
        <v>#DIV/0!</v>
      </c>
      <c r="AK304" s="176">
        <f t="shared" si="276"/>
        <v>1</v>
      </c>
      <c r="AL304" s="176">
        <f t="shared" si="277"/>
        <v>1</v>
      </c>
      <c r="AM304" s="176" t="e">
        <f t="shared" si="278"/>
        <v>#DIV/0!</v>
      </c>
      <c r="AN304" s="176" t="e">
        <f t="shared" si="279"/>
        <v>#DIV/0!</v>
      </c>
      <c r="AO304" s="176" t="e">
        <f t="shared" si="280"/>
        <v>#DIV/0!</v>
      </c>
      <c r="AP304" s="176" t="e">
        <f t="shared" si="281"/>
        <v>#DIV/0!</v>
      </c>
      <c r="AQ304" s="176" t="e">
        <f t="shared" si="282"/>
        <v>#DIV/0!</v>
      </c>
      <c r="AR304" s="176" t="e">
        <f t="shared" si="283"/>
        <v>#DIV/0!</v>
      </c>
      <c r="AS304" s="176" t="e">
        <f t="shared" si="284"/>
        <v>#DIV/0!</v>
      </c>
      <c r="AT304" s="176" t="e">
        <f t="shared" si="285"/>
        <v>#DIV/0!</v>
      </c>
      <c r="AU304" s="176">
        <f t="shared" si="286"/>
        <v>0.66895534999999995</v>
      </c>
      <c r="AV304" s="176">
        <f t="shared" si="287"/>
        <v>0.66895534999999995</v>
      </c>
    </row>
    <row r="305" spans="1:48" x14ac:dyDescent="0.25">
      <c r="A305" s="7">
        <v>3010102</v>
      </c>
      <c r="B305" s="8" t="s">
        <v>535</v>
      </c>
      <c r="C305" s="9">
        <f t="shared" ref="C305:N305" si="325">+C306+C309+C312</f>
        <v>16666666.666666666</v>
      </c>
      <c r="D305" s="9">
        <f t="shared" si="325"/>
        <v>16666666.666666666</v>
      </c>
      <c r="E305" s="9">
        <f t="shared" si="325"/>
        <v>25000000</v>
      </c>
      <c r="F305" s="9">
        <f t="shared" si="325"/>
        <v>25000000</v>
      </c>
      <c r="G305" s="9">
        <f t="shared" si="325"/>
        <v>25000000</v>
      </c>
      <c r="H305" s="9">
        <f t="shared" si="325"/>
        <v>25000000</v>
      </c>
      <c r="I305" s="9">
        <f t="shared" si="325"/>
        <v>8333333.333333333</v>
      </c>
      <c r="J305" s="9">
        <f t="shared" si="325"/>
        <v>8333333.333333333</v>
      </c>
      <c r="K305" s="9">
        <f t="shared" si="325"/>
        <v>250000000</v>
      </c>
      <c r="L305" s="9">
        <f t="shared" si="325"/>
        <v>0</v>
      </c>
      <c r="M305" s="9">
        <f t="shared" si="325"/>
        <v>0</v>
      </c>
      <c r="N305" s="9">
        <f t="shared" si="325"/>
        <v>0</v>
      </c>
      <c r="O305" s="9">
        <f t="shared" si="292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f t="shared" ref="W305" si="326">+W306+W309+W312</f>
        <v>2500000</v>
      </c>
      <c r="X305" s="9"/>
      <c r="Y305" s="9"/>
      <c r="Z305" s="9"/>
      <c r="AA305" s="9"/>
      <c r="AB305" s="9"/>
      <c r="AC305" s="9"/>
      <c r="AD305" s="9"/>
      <c r="AE305" s="9"/>
      <c r="AF305" s="9">
        <f t="shared" si="271"/>
        <v>5709340</v>
      </c>
      <c r="AG305" s="9">
        <f t="shared" si="272"/>
        <v>5709340</v>
      </c>
      <c r="AI305" s="175">
        <f t="shared" si="290"/>
        <v>1</v>
      </c>
      <c r="AJ305" s="175">
        <f t="shared" si="275"/>
        <v>1</v>
      </c>
      <c r="AK305" s="175">
        <f t="shared" si="276"/>
        <v>0.87162640000000002</v>
      </c>
      <c r="AL305" s="175">
        <f t="shared" si="277"/>
        <v>0.9</v>
      </c>
      <c r="AM305" s="175">
        <f t="shared" si="278"/>
        <v>1</v>
      </c>
      <c r="AN305" s="175">
        <f t="shared" si="279"/>
        <v>1</v>
      </c>
      <c r="AO305" s="175">
        <f t="shared" si="280"/>
        <v>1</v>
      </c>
      <c r="AP305" s="175">
        <f t="shared" si="281"/>
        <v>1</v>
      </c>
      <c r="AQ305" s="175">
        <f t="shared" si="282"/>
        <v>1</v>
      </c>
      <c r="AR305" s="175" t="e">
        <f t="shared" si="283"/>
        <v>#DIV/0!</v>
      </c>
      <c r="AS305" s="175" t="e">
        <f t="shared" si="284"/>
        <v>#DIV/0!</v>
      </c>
      <c r="AT305" s="175" t="e">
        <f t="shared" si="285"/>
        <v>#DIV/0!</v>
      </c>
      <c r="AU305" s="175">
        <f t="shared" si="286"/>
        <v>0.93148792000000002</v>
      </c>
      <c r="AV305" s="175">
        <f t="shared" si="287"/>
        <v>0.98572665000000004</v>
      </c>
    </row>
    <row r="306" spans="1:48" x14ac:dyDescent="0.25">
      <c r="A306" s="7">
        <v>301010201</v>
      </c>
      <c r="B306" s="8" t="s">
        <v>536</v>
      </c>
      <c r="C306" s="9">
        <f t="shared" ref="C306:N306" si="327">+C307+C308</f>
        <v>16666666.666666666</v>
      </c>
      <c r="D306" s="9">
        <f t="shared" si="327"/>
        <v>16666666.666666666</v>
      </c>
      <c r="E306" s="9">
        <f t="shared" si="327"/>
        <v>16666666.666666666</v>
      </c>
      <c r="F306" s="9">
        <f t="shared" si="327"/>
        <v>16666666.666666666</v>
      </c>
      <c r="G306" s="9">
        <f t="shared" si="327"/>
        <v>16666666.666666666</v>
      </c>
      <c r="H306" s="9">
        <f t="shared" si="327"/>
        <v>16666666.666666666</v>
      </c>
      <c r="I306" s="9">
        <f t="shared" si="327"/>
        <v>0</v>
      </c>
      <c r="J306" s="9">
        <f t="shared" si="327"/>
        <v>0</v>
      </c>
      <c r="K306" s="9">
        <f t="shared" si="327"/>
        <v>160000000</v>
      </c>
      <c r="L306" s="9">
        <f t="shared" si="327"/>
        <v>0</v>
      </c>
      <c r="M306" s="9">
        <f t="shared" si="327"/>
        <v>0</v>
      </c>
      <c r="N306" s="9">
        <f t="shared" si="327"/>
        <v>0</v>
      </c>
      <c r="O306" s="9">
        <f t="shared" si="292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f t="shared" ref="W306" si="328">+W307+W308</f>
        <v>2500000</v>
      </c>
      <c r="X306" s="9"/>
      <c r="Y306" s="9"/>
      <c r="Z306" s="9"/>
      <c r="AA306" s="9"/>
      <c r="AB306" s="9"/>
      <c r="AC306" s="9"/>
      <c r="AD306" s="9"/>
      <c r="AE306" s="9"/>
      <c r="AF306" s="9">
        <f t="shared" si="271"/>
        <v>32192912</v>
      </c>
      <c r="AG306" s="9">
        <f t="shared" si="272"/>
        <v>32192912</v>
      </c>
      <c r="AI306" s="175">
        <f t="shared" si="290"/>
        <v>1</v>
      </c>
      <c r="AJ306" s="175">
        <f t="shared" si="275"/>
        <v>-0.58901432000000009</v>
      </c>
      <c r="AK306" s="175">
        <f t="shared" si="276"/>
        <v>0.80743960000000004</v>
      </c>
      <c r="AL306" s="175">
        <f t="shared" si="277"/>
        <v>0.85</v>
      </c>
      <c r="AM306" s="175">
        <f t="shared" si="278"/>
        <v>1</v>
      </c>
      <c r="AN306" s="175">
        <f t="shared" si="279"/>
        <v>1</v>
      </c>
      <c r="AO306" s="175" t="e">
        <f t="shared" si="280"/>
        <v>#DIV/0!</v>
      </c>
      <c r="AP306" s="175" t="e">
        <f t="shared" si="281"/>
        <v>#DIV/0!</v>
      </c>
      <c r="AQ306" s="175">
        <f t="shared" si="282"/>
        <v>1</v>
      </c>
      <c r="AR306" s="175" t="e">
        <f t="shared" si="283"/>
        <v>#DIV/0!</v>
      </c>
      <c r="AS306" s="175" t="e">
        <f t="shared" si="284"/>
        <v>#DIV/0!</v>
      </c>
      <c r="AT306" s="175" t="e">
        <f t="shared" si="285"/>
        <v>#DIV/0!</v>
      </c>
      <c r="AU306" s="175">
        <f t="shared" si="286"/>
        <v>0.51710632000000001</v>
      </c>
      <c r="AV306" s="175">
        <f t="shared" si="287"/>
        <v>0.87618110769230773</v>
      </c>
    </row>
    <row r="307" spans="1:48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292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61">
        <v>0</v>
      </c>
      <c r="X307" s="21"/>
      <c r="Y307" s="21"/>
      <c r="Z307" s="21"/>
      <c r="AA307" s="21"/>
      <c r="AB307" s="21"/>
      <c r="AC307" s="21"/>
      <c r="AD307" s="21"/>
      <c r="AE307" s="21"/>
      <c r="AF307" s="261">
        <f t="shared" si="271"/>
        <v>0</v>
      </c>
      <c r="AG307" s="21">
        <f t="shared" si="272"/>
        <v>0</v>
      </c>
      <c r="AI307" s="176" t="e">
        <f t="shared" si="290"/>
        <v>#DIV/0!</v>
      </c>
      <c r="AJ307" s="176" t="e">
        <f t="shared" si="275"/>
        <v>#DIV/0!</v>
      </c>
      <c r="AK307" s="176" t="e">
        <f t="shared" si="276"/>
        <v>#DIV/0!</v>
      </c>
      <c r="AL307" s="176" t="e">
        <f t="shared" si="277"/>
        <v>#DIV/0!</v>
      </c>
      <c r="AM307" s="176" t="e">
        <f t="shared" si="278"/>
        <v>#DIV/0!</v>
      </c>
      <c r="AN307" s="176" t="e">
        <f t="shared" si="279"/>
        <v>#DIV/0!</v>
      </c>
      <c r="AO307" s="176" t="e">
        <f t="shared" si="280"/>
        <v>#DIV/0!</v>
      </c>
      <c r="AP307" s="176" t="e">
        <f t="shared" si="281"/>
        <v>#DIV/0!</v>
      </c>
      <c r="AQ307" s="176">
        <f t="shared" si="282"/>
        <v>1</v>
      </c>
      <c r="AR307" s="176" t="e">
        <f t="shared" si="283"/>
        <v>#DIV/0!</v>
      </c>
      <c r="AS307" s="176" t="e">
        <f t="shared" si="284"/>
        <v>#DIV/0!</v>
      </c>
      <c r="AT307" s="176" t="e">
        <f t="shared" si="285"/>
        <v>#DIV/0!</v>
      </c>
      <c r="AU307" s="176" t="e">
        <f t="shared" si="286"/>
        <v>#DIV/0!</v>
      </c>
      <c r="AV307" s="176">
        <f t="shared" si="287"/>
        <v>1</v>
      </c>
    </row>
    <row r="308" spans="1:48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292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61">
        <v>2500000</v>
      </c>
      <c r="X308" s="21"/>
      <c r="Y308" s="21"/>
      <c r="Z308" s="21"/>
      <c r="AA308" s="21"/>
      <c r="AB308" s="21"/>
      <c r="AC308" s="21"/>
      <c r="AD308" s="21"/>
      <c r="AE308" s="21"/>
      <c r="AF308" s="261">
        <f t="shared" si="271"/>
        <v>5709340</v>
      </c>
      <c r="AG308" s="21">
        <f t="shared" si="272"/>
        <v>5709340</v>
      </c>
      <c r="AI308" s="176">
        <f t="shared" si="290"/>
        <v>1</v>
      </c>
      <c r="AJ308" s="176">
        <f t="shared" si="275"/>
        <v>1</v>
      </c>
      <c r="AK308" s="176">
        <f t="shared" si="276"/>
        <v>0.80743960000000004</v>
      </c>
      <c r="AL308" s="176">
        <f t="shared" si="277"/>
        <v>0.85</v>
      </c>
      <c r="AM308" s="176">
        <f t="shared" si="278"/>
        <v>1</v>
      </c>
      <c r="AN308" s="176">
        <f t="shared" si="279"/>
        <v>1</v>
      </c>
      <c r="AO308" s="176" t="e">
        <f t="shared" si="280"/>
        <v>#DIV/0!</v>
      </c>
      <c r="AP308" s="176" t="e">
        <f t="shared" si="281"/>
        <v>#DIV/0!</v>
      </c>
      <c r="AQ308" s="176" t="e">
        <f t="shared" si="282"/>
        <v>#DIV/0!</v>
      </c>
      <c r="AR308" s="176" t="e">
        <f t="shared" si="283"/>
        <v>#DIV/0!</v>
      </c>
      <c r="AS308" s="176" t="e">
        <f t="shared" si="284"/>
        <v>#DIV/0!</v>
      </c>
      <c r="AT308" s="176" t="e">
        <f t="shared" si="285"/>
        <v>#DIV/0!</v>
      </c>
      <c r="AU308" s="176">
        <f t="shared" si="286"/>
        <v>0.9143599</v>
      </c>
      <c r="AV308" s="176">
        <f t="shared" si="287"/>
        <v>0.94290660000000004</v>
      </c>
    </row>
    <row r="309" spans="1:48" x14ac:dyDescent="0.25">
      <c r="A309" s="7">
        <v>301010202</v>
      </c>
      <c r="B309" s="8" t="s">
        <v>539</v>
      </c>
      <c r="C309" s="9">
        <f t="shared" ref="C309:N309" si="329">+C310+C311</f>
        <v>0</v>
      </c>
      <c r="D309" s="9">
        <f t="shared" si="329"/>
        <v>0</v>
      </c>
      <c r="E309" s="9">
        <f t="shared" si="329"/>
        <v>8333333.333333333</v>
      </c>
      <c r="F309" s="9">
        <f t="shared" si="329"/>
        <v>8333333.333333333</v>
      </c>
      <c r="G309" s="9">
        <f t="shared" si="329"/>
        <v>8333333.333333333</v>
      </c>
      <c r="H309" s="9">
        <f t="shared" si="329"/>
        <v>8333333.333333333</v>
      </c>
      <c r="I309" s="9">
        <f t="shared" si="329"/>
        <v>8333333.333333333</v>
      </c>
      <c r="J309" s="9">
        <f t="shared" si="329"/>
        <v>8333333.333333333</v>
      </c>
      <c r="K309" s="9">
        <f t="shared" si="329"/>
        <v>60000000</v>
      </c>
      <c r="L309" s="9">
        <f t="shared" si="329"/>
        <v>0</v>
      </c>
      <c r="M309" s="9">
        <f t="shared" si="329"/>
        <v>0</v>
      </c>
      <c r="N309" s="9">
        <f t="shared" si="329"/>
        <v>0</v>
      </c>
      <c r="O309" s="9">
        <f t="shared" si="292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f t="shared" ref="W309" si="330">+W310+W311</f>
        <v>0</v>
      </c>
      <c r="X309" s="9"/>
      <c r="Y309" s="9"/>
      <c r="Z309" s="9"/>
      <c r="AA309" s="9"/>
      <c r="AB309" s="9"/>
      <c r="AC309" s="9"/>
      <c r="AD309" s="9"/>
      <c r="AE309" s="9"/>
      <c r="AF309" s="9">
        <f t="shared" si="271"/>
        <v>0</v>
      </c>
      <c r="AG309" s="9">
        <f t="shared" si="272"/>
        <v>0</v>
      </c>
      <c r="AI309" s="175" t="e">
        <f t="shared" si="290"/>
        <v>#DIV/0!</v>
      </c>
      <c r="AJ309" s="175" t="e">
        <f t="shared" si="275"/>
        <v>#DIV/0!</v>
      </c>
      <c r="AK309" s="175">
        <f t="shared" si="276"/>
        <v>1</v>
      </c>
      <c r="AL309" s="175">
        <f t="shared" si="277"/>
        <v>1</v>
      </c>
      <c r="AM309" s="175">
        <f t="shared" si="278"/>
        <v>1</v>
      </c>
      <c r="AN309" s="175">
        <f t="shared" si="279"/>
        <v>1</v>
      </c>
      <c r="AO309" s="175">
        <f t="shared" si="280"/>
        <v>1</v>
      </c>
      <c r="AP309" s="175">
        <f t="shared" si="281"/>
        <v>1</v>
      </c>
      <c r="AQ309" s="175">
        <f t="shared" si="282"/>
        <v>1</v>
      </c>
      <c r="AR309" s="175" t="e">
        <f t="shared" si="283"/>
        <v>#DIV/0!</v>
      </c>
      <c r="AS309" s="175" t="e">
        <f t="shared" si="284"/>
        <v>#DIV/0!</v>
      </c>
      <c r="AT309" s="175" t="e">
        <f t="shared" si="285"/>
        <v>#DIV/0!</v>
      </c>
      <c r="AU309" s="175">
        <f t="shared" si="286"/>
        <v>1</v>
      </c>
      <c r="AV309" s="175">
        <f t="shared" si="287"/>
        <v>1</v>
      </c>
    </row>
    <row r="310" spans="1:48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292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61">
        <v>0</v>
      </c>
      <c r="X310" s="21"/>
      <c r="Y310" s="21"/>
      <c r="Z310" s="21"/>
      <c r="AA310" s="21"/>
      <c r="AB310" s="21"/>
      <c r="AC310" s="21"/>
      <c r="AD310" s="21"/>
      <c r="AE310" s="21"/>
      <c r="AF310" s="261">
        <f t="shared" si="271"/>
        <v>0</v>
      </c>
      <c r="AG310" s="21">
        <f t="shared" si="272"/>
        <v>0</v>
      </c>
      <c r="AI310" s="176" t="e">
        <f t="shared" si="290"/>
        <v>#DIV/0!</v>
      </c>
      <c r="AJ310" s="176" t="e">
        <f t="shared" si="275"/>
        <v>#DIV/0!</v>
      </c>
      <c r="AK310" s="176" t="e">
        <f t="shared" si="276"/>
        <v>#DIV/0!</v>
      </c>
      <c r="AL310" s="176" t="e">
        <f t="shared" si="277"/>
        <v>#DIV/0!</v>
      </c>
      <c r="AM310" s="176" t="e">
        <f t="shared" si="278"/>
        <v>#DIV/0!</v>
      </c>
      <c r="AN310" s="176" t="e">
        <f t="shared" si="279"/>
        <v>#DIV/0!</v>
      </c>
      <c r="AO310" s="176" t="e">
        <f t="shared" si="280"/>
        <v>#DIV/0!</v>
      </c>
      <c r="AP310" s="176" t="e">
        <f t="shared" si="281"/>
        <v>#DIV/0!</v>
      </c>
      <c r="AQ310" s="176">
        <f t="shared" si="282"/>
        <v>1</v>
      </c>
      <c r="AR310" s="176" t="e">
        <f t="shared" si="283"/>
        <v>#DIV/0!</v>
      </c>
      <c r="AS310" s="176" t="e">
        <f t="shared" si="284"/>
        <v>#DIV/0!</v>
      </c>
      <c r="AT310" s="176" t="e">
        <f t="shared" si="285"/>
        <v>#DIV/0!</v>
      </c>
      <c r="AU310" s="176" t="e">
        <f t="shared" si="286"/>
        <v>#DIV/0!</v>
      </c>
      <c r="AV310" s="176">
        <f t="shared" si="287"/>
        <v>1</v>
      </c>
    </row>
    <row r="311" spans="1:48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292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61">
        <v>0</v>
      </c>
      <c r="X311" s="21"/>
      <c r="Y311" s="21"/>
      <c r="Z311" s="21"/>
      <c r="AA311" s="21"/>
      <c r="AB311" s="21"/>
      <c r="AC311" s="21"/>
      <c r="AD311" s="21"/>
      <c r="AE311" s="21"/>
      <c r="AF311" s="261">
        <f t="shared" si="271"/>
        <v>0</v>
      </c>
      <c r="AG311" s="21">
        <f t="shared" si="272"/>
        <v>0</v>
      </c>
      <c r="AI311" s="176" t="e">
        <f t="shared" si="290"/>
        <v>#DIV/0!</v>
      </c>
      <c r="AJ311" s="176" t="e">
        <f t="shared" si="275"/>
        <v>#DIV/0!</v>
      </c>
      <c r="AK311" s="176">
        <f t="shared" si="276"/>
        <v>1</v>
      </c>
      <c r="AL311" s="176">
        <f t="shared" si="277"/>
        <v>1</v>
      </c>
      <c r="AM311" s="176">
        <f t="shared" si="278"/>
        <v>1</v>
      </c>
      <c r="AN311" s="176">
        <f t="shared" si="279"/>
        <v>1</v>
      </c>
      <c r="AO311" s="176">
        <f t="shared" si="280"/>
        <v>1</v>
      </c>
      <c r="AP311" s="176">
        <f t="shared" si="281"/>
        <v>1</v>
      </c>
      <c r="AQ311" s="176" t="e">
        <f t="shared" si="282"/>
        <v>#DIV/0!</v>
      </c>
      <c r="AR311" s="176" t="e">
        <f t="shared" si="283"/>
        <v>#DIV/0!</v>
      </c>
      <c r="AS311" s="176" t="e">
        <f t="shared" si="284"/>
        <v>#DIV/0!</v>
      </c>
      <c r="AT311" s="176" t="e">
        <f t="shared" si="285"/>
        <v>#DIV/0!</v>
      </c>
      <c r="AU311" s="176">
        <f t="shared" si="286"/>
        <v>1</v>
      </c>
      <c r="AV311" s="176">
        <f t="shared" si="287"/>
        <v>1</v>
      </c>
    </row>
    <row r="312" spans="1:48" x14ac:dyDescent="0.25">
      <c r="A312" s="7">
        <v>301010203</v>
      </c>
      <c r="B312" s="8" t="s">
        <v>542</v>
      </c>
      <c r="C312" s="9">
        <f t="shared" ref="C312:N312" si="331">+C313</f>
        <v>0</v>
      </c>
      <c r="D312" s="9">
        <f t="shared" si="331"/>
        <v>0</v>
      </c>
      <c r="E312" s="9">
        <f t="shared" si="331"/>
        <v>0</v>
      </c>
      <c r="F312" s="9">
        <f t="shared" si="331"/>
        <v>0</v>
      </c>
      <c r="G312" s="9">
        <f t="shared" si="331"/>
        <v>0</v>
      </c>
      <c r="H312" s="9">
        <f t="shared" si="331"/>
        <v>0</v>
      </c>
      <c r="I312" s="9">
        <f t="shared" si="331"/>
        <v>0</v>
      </c>
      <c r="J312" s="9">
        <f t="shared" si="331"/>
        <v>0</v>
      </c>
      <c r="K312" s="9">
        <f t="shared" si="331"/>
        <v>30000000</v>
      </c>
      <c r="L312" s="9">
        <f t="shared" si="331"/>
        <v>0</v>
      </c>
      <c r="M312" s="9">
        <f t="shared" si="331"/>
        <v>0</v>
      </c>
      <c r="N312" s="9">
        <f t="shared" si="331"/>
        <v>0</v>
      </c>
      <c r="O312" s="9">
        <f t="shared" si="292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f t="shared" ref="W312" si="332">+W313</f>
        <v>0</v>
      </c>
      <c r="X312" s="9"/>
      <c r="Y312" s="9"/>
      <c r="Z312" s="9"/>
      <c r="AA312" s="9"/>
      <c r="AB312" s="9"/>
      <c r="AC312" s="9"/>
      <c r="AD312" s="9"/>
      <c r="AE312" s="9"/>
      <c r="AF312" s="9">
        <f t="shared" si="271"/>
        <v>278953416</v>
      </c>
      <c r="AG312" s="9">
        <f t="shared" si="272"/>
        <v>278953416</v>
      </c>
      <c r="AI312" s="175" t="e">
        <f t="shared" si="290"/>
        <v>#DIV/0!</v>
      </c>
      <c r="AJ312" s="175" t="e">
        <f t="shared" si="275"/>
        <v>#DIV/0!</v>
      </c>
      <c r="AK312" s="175" t="e">
        <f t="shared" si="276"/>
        <v>#DIV/0!</v>
      </c>
      <c r="AL312" s="175" t="e">
        <f t="shared" si="277"/>
        <v>#DIV/0!</v>
      </c>
      <c r="AM312" s="175" t="e">
        <f t="shared" si="278"/>
        <v>#DIV/0!</v>
      </c>
      <c r="AN312" s="175" t="e">
        <f t="shared" si="279"/>
        <v>#DIV/0!</v>
      </c>
      <c r="AO312" s="175" t="e">
        <f t="shared" si="280"/>
        <v>#DIV/0!</v>
      </c>
      <c r="AP312" s="175" t="e">
        <f t="shared" si="281"/>
        <v>#DIV/0!</v>
      </c>
      <c r="AQ312" s="175">
        <f t="shared" si="282"/>
        <v>1</v>
      </c>
      <c r="AR312" s="175" t="e">
        <f t="shared" si="283"/>
        <v>#DIV/0!</v>
      </c>
      <c r="AS312" s="175" t="e">
        <f t="shared" si="284"/>
        <v>#DIV/0!</v>
      </c>
      <c r="AT312" s="175" t="e">
        <f t="shared" si="285"/>
        <v>#DIV/0!</v>
      </c>
      <c r="AU312" s="175" t="e">
        <f t="shared" si="286"/>
        <v>#DIV/0!</v>
      </c>
      <c r="AV312" s="175">
        <f t="shared" si="287"/>
        <v>-8.2984472</v>
      </c>
    </row>
    <row r="313" spans="1:48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292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61">
        <v>0</v>
      </c>
      <c r="X313" s="21"/>
      <c r="Y313" s="21"/>
      <c r="Z313" s="21"/>
      <c r="AA313" s="21"/>
      <c r="AB313" s="21"/>
      <c r="AC313" s="21"/>
      <c r="AD313" s="21"/>
      <c r="AE313" s="21"/>
      <c r="AF313" s="261">
        <f t="shared" si="271"/>
        <v>278953416</v>
      </c>
      <c r="AG313" s="21">
        <f t="shared" si="272"/>
        <v>278953416</v>
      </c>
      <c r="AI313" s="176" t="e">
        <f t="shared" si="290"/>
        <v>#DIV/0!</v>
      </c>
      <c r="AJ313" s="176" t="e">
        <f t="shared" si="275"/>
        <v>#DIV/0!</v>
      </c>
      <c r="AK313" s="176" t="e">
        <f t="shared" si="276"/>
        <v>#DIV/0!</v>
      </c>
      <c r="AL313" s="176" t="e">
        <f t="shared" si="277"/>
        <v>#DIV/0!</v>
      </c>
      <c r="AM313" s="176" t="e">
        <f t="shared" si="278"/>
        <v>#DIV/0!</v>
      </c>
      <c r="AN313" s="176" t="e">
        <f t="shared" si="279"/>
        <v>#DIV/0!</v>
      </c>
      <c r="AO313" s="176" t="e">
        <f t="shared" si="280"/>
        <v>#DIV/0!</v>
      </c>
      <c r="AP313" s="176" t="e">
        <f t="shared" si="281"/>
        <v>#DIV/0!</v>
      </c>
      <c r="AQ313" s="176">
        <f t="shared" si="282"/>
        <v>1</v>
      </c>
      <c r="AR313" s="176" t="e">
        <f t="shared" si="283"/>
        <v>#DIV/0!</v>
      </c>
      <c r="AS313" s="176" t="e">
        <f t="shared" si="284"/>
        <v>#DIV/0!</v>
      </c>
      <c r="AT313" s="176" t="e">
        <f t="shared" si="285"/>
        <v>#DIV/0!</v>
      </c>
      <c r="AU313" s="176" t="e">
        <f t="shared" si="286"/>
        <v>#DIV/0!</v>
      </c>
      <c r="AV313" s="176">
        <f t="shared" si="287"/>
        <v>-8.2984472</v>
      </c>
    </row>
    <row r="314" spans="1:48" x14ac:dyDescent="0.25">
      <c r="A314" s="4">
        <v>30102</v>
      </c>
      <c r="B314" s="5" t="s">
        <v>544</v>
      </c>
      <c r="C314" s="6">
        <f t="shared" ref="C314:N314" si="333">+C315</f>
        <v>112500000</v>
      </c>
      <c r="D314" s="6">
        <f t="shared" si="333"/>
        <v>112500000</v>
      </c>
      <c r="E314" s="6">
        <f t="shared" si="333"/>
        <v>112500000</v>
      </c>
      <c r="F314" s="6">
        <f t="shared" si="333"/>
        <v>112500000</v>
      </c>
      <c r="G314" s="6">
        <f t="shared" si="333"/>
        <v>112500000</v>
      </c>
      <c r="H314" s="6">
        <f t="shared" si="333"/>
        <v>112500000</v>
      </c>
      <c r="I314" s="6">
        <f t="shared" si="333"/>
        <v>87500000</v>
      </c>
      <c r="J314" s="6">
        <f t="shared" si="333"/>
        <v>87500000</v>
      </c>
      <c r="K314" s="6">
        <f t="shared" si="333"/>
        <v>857500000</v>
      </c>
      <c r="L314" s="6">
        <f t="shared" si="333"/>
        <v>87500000</v>
      </c>
      <c r="M314" s="6">
        <f t="shared" si="333"/>
        <v>87500000</v>
      </c>
      <c r="N314" s="6">
        <f t="shared" si="333"/>
        <v>87500000</v>
      </c>
      <c r="O314" s="6">
        <f t="shared" si="292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f t="shared" ref="W314" si="334">+W315</f>
        <v>17179678</v>
      </c>
      <c r="X314" s="6"/>
      <c r="Y314" s="6"/>
      <c r="Z314" s="6"/>
      <c r="AA314" s="6"/>
      <c r="AB314" s="6"/>
      <c r="AC314" s="6"/>
      <c r="AD314" s="6"/>
      <c r="AE314" s="6"/>
      <c r="AF314" s="6">
        <f t="shared" si="271"/>
        <v>814948456</v>
      </c>
      <c r="AG314" s="6">
        <f t="shared" si="272"/>
        <v>814948456</v>
      </c>
      <c r="AI314" s="174">
        <f t="shared" si="290"/>
        <v>-1.3069794400000001</v>
      </c>
      <c r="AJ314" s="174">
        <f t="shared" si="275"/>
        <v>-1.4795859200000001</v>
      </c>
      <c r="AK314" s="174">
        <f t="shared" si="276"/>
        <v>-1.3047126666666666</v>
      </c>
      <c r="AL314" s="174">
        <f t="shared" si="277"/>
        <v>0.8472917511111111</v>
      </c>
      <c r="AM314" s="174">
        <f t="shared" si="278"/>
        <v>1</v>
      </c>
      <c r="AN314" s="174">
        <f t="shared" si="279"/>
        <v>1</v>
      </c>
      <c r="AO314" s="174">
        <f t="shared" si="280"/>
        <v>1</v>
      </c>
      <c r="AP314" s="174">
        <f t="shared" si="281"/>
        <v>1</v>
      </c>
      <c r="AQ314" s="174">
        <f t="shared" si="282"/>
        <v>1</v>
      </c>
      <c r="AR314" s="174">
        <f t="shared" si="283"/>
        <v>1</v>
      </c>
      <c r="AS314" s="174">
        <f t="shared" si="284"/>
        <v>1</v>
      </c>
      <c r="AT314" s="174">
        <f t="shared" si="285"/>
        <v>1</v>
      </c>
      <c r="AU314" s="174">
        <f t="shared" si="286"/>
        <v>-0.81099656888888894</v>
      </c>
      <c r="AV314" s="174">
        <f t="shared" si="287"/>
        <v>0.58632058071065984</v>
      </c>
    </row>
    <row r="315" spans="1:48" x14ac:dyDescent="0.25">
      <c r="A315" s="7">
        <v>3010201</v>
      </c>
      <c r="B315" s="8" t="s">
        <v>847</v>
      </c>
      <c r="C315" s="9">
        <f t="shared" ref="C315:N315" si="335">+C316+C323</f>
        <v>112500000</v>
      </c>
      <c r="D315" s="9">
        <f t="shared" si="335"/>
        <v>112500000</v>
      </c>
      <c r="E315" s="9">
        <f t="shared" si="335"/>
        <v>112500000</v>
      </c>
      <c r="F315" s="9">
        <f t="shared" si="335"/>
        <v>112500000</v>
      </c>
      <c r="G315" s="9">
        <f t="shared" si="335"/>
        <v>112500000</v>
      </c>
      <c r="H315" s="9">
        <f t="shared" si="335"/>
        <v>112500000</v>
      </c>
      <c r="I315" s="9">
        <f t="shared" si="335"/>
        <v>87500000</v>
      </c>
      <c r="J315" s="9">
        <f t="shared" si="335"/>
        <v>87500000</v>
      </c>
      <c r="K315" s="9">
        <f t="shared" si="335"/>
        <v>857500000</v>
      </c>
      <c r="L315" s="9">
        <f t="shared" si="335"/>
        <v>87500000</v>
      </c>
      <c r="M315" s="9">
        <f t="shared" si="335"/>
        <v>87500000</v>
      </c>
      <c r="N315" s="9">
        <f t="shared" si="335"/>
        <v>87500000</v>
      </c>
      <c r="O315" s="9">
        <f t="shared" si="292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f t="shared" ref="W315" si="336">+W316+W323</f>
        <v>17179678</v>
      </c>
      <c r="X315" s="9"/>
      <c r="Y315" s="9"/>
      <c r="Z315" s="9"/>
      <c r="AA315" s="9"/>
      <c r="AB315" s="9"/>
      <c r="AC315" s="9"/>
      <c r="AD315" s="9"/>
      <c r="AE315" s="9"/>
      <c r="AF315" s="9">
        <f t="shared" si="271"/>
        <v>814948456</v>
      </c>
      <c r="AG315" s="9">
        <f t="shared" si="272"/>
        <v>814948456</v>
      </c>
      <c r="AI315" s="175">
        <f t="shared" si="290"/>
        <v>-1.3069794400000001</v>
      </c>
      <c r="AJ315" s="175">
        <f t="shared" si="275"/>
        <v>-1.4795859200000001</v>
      </c>
      <c r="AK315" s="175">
        <f t="shared" si="276"/>
        <v>-1.3047126666666666</v>
      </c>
      <c r="AL315" s="175">
        <f t="shared" si="277"/>
        <v>0.8472917511111111</v>
      </c>
      <c r="AM315" s="175">
        <f t="shared" si="278"/>
        <v>1</v>
      </c>
      <c r="AN315" s="175">
        <f t="shared" si="279"/>
        <v>1</v>
      </c>
      <c r="AO315" s="175">
        <f t="shared" si="280"/>
        <v>1</v>
      </c>
      <c r="AP315" s="175">
        <f t="shared" si="281"/>
        <v>1</v>
      </c>
      <c r="AQ315" s="175">
        <f t="shared" si="282"/>
        <v>1</v>
      </c>
      <c r="AR315" s="175">
        <f t="shared" si="283"/>
        <v>1</v>
      </c>
      <c r="AS315" s="175">
        <f t="shared" si="284"/>
        <v>1</v>
      </c>
      <c r="AT315" s="175">
        <f t="shared" si="285"/>
        <v>1</v>
      </c>
      <c r="AU315" s="175">
        <f t="shared" si="286"/>
        <v>-0.81099656888888894</v>
      </c>
      <c r="AV315" s="175">
        <f t="shared" si="287"/>
        <v>0.58632058071065984</v>
      </c>
    </row>
    <row r="316" spans="1:48" x14ac:dyDescent="0.25">
      <c r="A316" s="7">
        <v>301020101</v>
      </c>
      <c r="B316" s="8" t="s">
        <v>546</v>
      </c>
      <c r="C316" s="9">
        <f t="shared" ref="C316:N316" si="337">+C317+C321</f>
        <v>87500000</v>
      </c>
      <c r="D316" s="9">
        <f t="shared" si="337"/>
        <v>87500000</v>
      </c>
      <c r="E316" s="9">
        <f t="shared" si="337"/>
        <v>87500000</v>
      </c>
      <c r="F316" s="9">
        <f t="shared" si="337"/>
        <v>87500000</v>
      </c>
      <c r="G316" s="9">
        <f t="shared" si="337"/>
        <v>87500000</v>
      </c>
      <c r="H316" s="9">
        <f t="shared" si="337"/>
        <v>87500000</v>
      </c>
      <c r="I316" s="9">
        <f t="shared" si="337"/>
        <v>87500000</v>
      </c>
      <c r="J316" s="9">
        <f t="shared" si="337"/>
        <v>87500000</v>
      </c>
      <c r="K316" s="9">
        <f t="shared" si="337"/>
        <v>657500000</v>
      </c>
      <c r="L316" s="9">
        <f t="shared" si="337"/>
        <v>87500000</v>
      </c>
      <c r="M316" s="9">
        <f t="shared" si="337"/>
        <v>87500000</v>
      </c>
      <c r="N316" s="9">
        <f t="shared" si="337"/>
        <v>87500000</v>
      </c>
      <c r="O316" s="9">
        <f t="shared" si="292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f t="shared" ref="W316" si="338">+W317+W321</f>
        <v>679678</v>
      </c>
      <c r="X316" s="9"/>
      <c r="Y316" s="9"/>
      <c r="Z316" s="9"/>
      <c r="AA316" s="9"/>
      <c r="AB316" s="9"/>
      <c r="AC316" s="9"/>
      <c r="AD316" s="9"/>
      <c r="AE316" s="9"/>
      <c r="AF316" s="9">
        <f t="shared" si="271"/>
        <v>456995040</v>
      </c>
      <c r="AG316" s="9">
        <f t="shared" si="272"/>
        <v>456995040</v>
      </c>
      <c r="AI316" s="175">
        <f t="shared" si="290"/>
        <v>-1.3375449942857143</v>
      </c>
      <c r="AJ316" s="175">
        <f t="shared" si="275"/>
        <v>1</v>
      </c>
      <c r="AK316" s="175">
        <f t="shared" si="276"/>
        <v>-1.8774877142857143</v>
      </c>
      <c r="AL316" s="175">
        <f t="shared" si="277"/>
        <v>0.99223225142857141</v>
      </c>
      <c r="AM316" s="175">
        <f t="shared" si="278"/>
        <v>1</v>
      </c>
      <c r="AN316" s="175">
        <f t="shared" si="279"/>
        <v>1</v>
      </c>
      <c r="AO316" s="175">
        <f t="shared" si="280"/>
        <v>1</v>
      </c>
      <c r="AP316" s="175">
        <f t="shared" si="281"/>
        <v>1</v>
      </c>
      <c r="AQ316" s="175">
        <f t="shared" si="282"/>
        <v>1</v>
      </c>
      <c r="AR316" s="175">
        <f t="shared" si="283"/>
        <v>1</v>
      </c>
      <c r="AS316" s="175">
        <f t="shared" si="284"/>
        <v>1</v>
      </c>
      <c r="AT316" s="175">
        <f t="shared" si="285"/>
        <v>1</v>
      </c>
      <c r="AU316" s="175">
        <f t="shared" si="286"/>
        <v>-0.30570011428571431</v>
      </c>
      <c r="AV316" s="175">
        <f t="shared" si="287"/>
        <v>0.71790429629629626</v>
      </c>
    </row>
    <row r="317" spans="1:48" x14ac:dyDescent="0.25">
      <c r="A317" s="7">
        <v>30103010101</v>
      </c>
      <c r="B317" s="8" t="s">
        <v>547</v>
      </c>
      <c r="C317" s="9">
        <f t="shared" ref="C317:N317" si="339">+C318+C319+C320</f>
        <v>87500000</v>
      </c>
      <c r="D317" s="9">
        <f t="shared" si="339"/>
        <v>87500000</v>
      </c>
      <c r="E317" s="9">
        <f t="shared" si="339"/>
        <v>87500000</v>
      </c>
      <c r="F317" s="9">
        <f t="shared" si="339"/>
        <v>87500000</v>
      </c>
      <c r="G317" s="9">
        <f t="shared" si="339"/>
        <v>87500000</v>
      </c>
      <c r="H317" s="9">
        <f t="shared" si="339"/>
        <v>87500000</v>
      </c>
      <c r="I317" s="9">
        <f t="shared" si="339"/>
        <v>87500000</v>
      </c>
      <c r="J317" s="9">
        <f t="shared" si="339"/>
        <v>87500000</v>
      </c>
      <c r="K317" s="9">
        <f t="shared" si="339"/>
        <v>617500000</v>
      </c>
      <c r="L317" s="9">
        <f t="shared" si="339"/>
        <v>87500000</v>
      </c>
      <c r="M317" s="9">
        <f t="shared" si="339"/>
        <v>87500000</v>
      </c>
      <c r="N317" s="9">
        <f t="shared" si="339"/>
        <v>87500000</v>
      </c>
      <c r="O317" s="9">
        <f t="shared" si="292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f t="shared" ref="W317" si="340">+W318+W319+W320</f>
        <v>679678</v>
      </c>
      <c r="X317" s="9"/>
      <c r="Y317" s="9"/>
      <c r="Z317" s="9"/>
      <c r="AA317" s="9"/>
      <c r="AB317" s="9"/>
      <c r="AC317" s="9"/>
      <c r="AD317" s="9"/>
      <c r="AE317" s="9"/>
      <c r="AF317" s="9">
        <f t="shared" si="271"/>
        <v>456995040</v>
      </c>
      <c r="AG317" s="9">
        <f t="shared" si="272"/>
        <v>456995040</v>
      </c>
      <c r="AI317" s="175">
        <f t="shared" si="290"/>
        <v>-1.3375449942857143</v>
      </c>
      <c r="AJ317" s="175">
        <f t="shared" si="275"/>
        <v>1</v>
      </c>
      <c r="AK317" s="175">
        <f t="shared" si="276"/>
        <v>-1.8774877142857143</v>
      </c>
      <c r="AL317" s="175">
        <f t="shared" si="277"/>
        <v>0.99223225142857141</v>
      </c>
      <c r="AM317" s="175">
        <f t="shared" si="278"/>
        <v>1</v>
      </c>
      <c r="AN317" s="175">
        <f t="shared" si="279"/>
        <v>1</v>
      </c>
      <c r="AO317" s="175">
        <f t="shared" si="280"/>
        <v>1</v>
      </c>
      <c r="AP317" s="175">
        <f t="shared" si="281"/>
        <v>1</v>
      </c>
      <c r="AQ317" s="175">
        <f t="shared" si="282"/>
        <v>1</v>
      </c>
      <c r="AR317" s="175">
        <f t="shared" si="283"/>
        <v>1</v>
      </c>
      <c r="AS317" s="175">
        <f t="shared" si="284"/>
        <v>1</v>
      </c>
      <c r="AT317" s="175">
        <f t="shared" si="285"/>
        <v>1</v>
      </c>
      <c r="AU317" s="175">
        <f t="shared" si="286"/>
        <v>-0.30570011428571431</v>
      </c>
      <c r="AV317" s="175">
        <f t="shared" si="287"/>
        <v>0.71076263291139241</v>
      </c>
    </row>
    <row r="318" spans="1:48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292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61">
        <v>0</v>
      </c>
      <c r="X318" s="21"/>
      <c r="Y318" s="21"/>
      <c r="Z318" s="21"/>
      <c r="AA318" s="21"/>
      <c r="AB318" s="21"/>
      <c r="AC318" s="21"/>
      <c r="AD318" s="21"/>
      <c r="AE318" s="21"/>
      <c r="AF318" s="261">
        <f t="shared" si="271"/>
        <v>278953416</v>
      </c>
      <c r="AG318" s="21">
        <f t="shared" si="272"/>
        <v>278953416</v>
      </c>
      <c r="AI318" s="176" t="e">
        <f t="shared" si="290"/>
        <v>#DIV/0!</v>
      </c>
      <c r="AJ318" s="176" t="e">
        <f t="shared" si="275"/>
        <v>#DIV/0!</v>
      </c>
      <c r="AK318" s="176" t="e">
        <f t="shared" si="276"/>
        <v>#DIV/0!</v>
      </c>
      <c r="AL318" s="176" t="e">
        <f t="shared" si="277"/>
        <v>#DIV/0!</v>
      </c>
      <c r="AM318" s="176" t="e">
        <f t="shared" si="278"/>
        <v>#DIV/0!</v>
      </c>
      <c r="AN318" s="176" t="e">
        <f t="shared" si="279"/>
        <v>#DIV/0!</v>
      </c>
      <c r="AO318" s="176" t="e">
        <f t="shared" si="280"/>
        <v>#DIV/0!</v>
      </c>
      <c r="AP318" s="176" t="e">
        <f t="shared" si="281"/>
        <v>#DIV/0!</v>
      </c>
      <c r="AQ318" s="176">
        <f t="shared" si="282"/>
        <v>1</v>
      </c>
      <c r="AR318" s="176" t="e">
        <f t="shared" si="283"/>
        <v>#DIV/0!</v>
      </c>
      <c r="AS318" s="176" t="e">
        <f t="shared" si="284"/>
        <v>#DIV/0!</v>
      </c>
      <c r="AT318" s="176" t="e">
        <f t="shared" si="285"/>
        <v>#DIV/0!</v>
      </c>
      <c r="AU318" s="176" t="e">
        <f t="shared" si="286"/>
        <v>#DIV/0!</v>
      </c>
      <c r="AV318" s="176">
        <f t="shared" si="287"/>
        <v>0.4736728</v>
      </c>
    </row>
    <row r="319" spans="1:48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292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61">
        <v>0</v>
      </c>
      <c r="X319" s="21"/>
      <c r="Y319" s="21"/>
      <c r="Z319" s="21"/>
      <c r="AA319" s="21"/>
      <c r="AB319" s="21"/>
      <c r="AC319" s="21"/>
      <c r="AD319" s="21"/>
      <c r="AE319" s="21"/>
      <c r="AF319" s="261">
        <f t="shared" si="271"/>
        <v>0</v>
      </c>
      <c r="AG319" s="21">
        <f t="shared" si="272"/>
        <v>0</v>
      </c>
      <c r="AI319" s="176">
        <f t="shared" si="290"/>
        <v>1</v>
      </c>
      <c r="AJ319" s="176">
        <f t="shared" si="275"/>
        <v>1</v>
      </c>
      <c r="AK319" s="176">
        <f t="shared" si="276"/>
        <v>1</v>
      </c>
      <c r="AL319" s="176">
        <f t="shared" si="277"/>
        <v>1</v>
      </c>
      <c r="AM319" s="176">
        <f t="shared" si="278"/>
        <v>1</v>
      </c>
      <c r="AN319" s="176">
        <f t="shared" si="279"/>
        <v>1</v>
      </c>
      <c r="AO319" s="176">
        <f t="shared" si="280"/>
        <v>1</v>
      </c>
      <c r="AP319" s="176">
        <f t="shared" si="281"/>
        <v>1</v>
      </c>
      <c r="AQ319" s="176">
        <f t="shared" si="282"/>
        <v>1</v>
      </c>
      <c r="AR319" s="176">
        <f t="shared" si="283"/>
        <v>1</v>
      </c>
      <c r="AS319" s="176">
        <f t="shared" si="284"/>
        <v>1</v>
      </c>
      <c r="AT319" s="176">
        <f t="shared" si="285"/>
        <v>1</v>
      </c>
      <c r="AU319" s="176">
        <f t="shared" si="286"/>
        <v>1</v>
      </c>
      <c r="AV319" s="176">
        <f t="shared" si="287"/>
        <v>1</v>
      </c>
    </row>
    <row r="320" spans="1:48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292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61">
        <v>679678</v>
      </c>
      <c r="X320" s="21"/>
      <c r="Y320" s="21"/>
      <c r="Z320" s="21"/>
      <c r="AA320" s="21"/>
      <c r="AB320" s="21"/>
      <c r="AC320" s="21"/>
      <c r="AD320" s="21"/>
      <c r="AE320" s="21"/>
      <c r="AF320" s="261">
        <f t="shared" si="271"/>
        <v>456995040</v>
      </c>
      <c r="AG320" s="21">
        <f t="shared" si="272"/>
        <v>456995040</v>
      </c>
      <c r="AI320" s="176">
        <f t="shared" si="290"/>
        <v>-1.8875555811764708</v>
      </c>
      <c r="AJ320" s="176">
        <f t="shared" si="275"/>
        <v>1</v>
      </c>
      <c r="AK320" s="176">
        <f t="shared" si="276"/>
        <v>-2.5545436470588241</v>
      </c>
      <c r="AL320" s="176">
        <f t="shared" si="277"/>
        <v>0.99040454588235294</v>
      </c>
      <c r="AM320" s="176">
        <f t="shared" si="278"/>
        <v>1</v>
      </c>
      <c r="AN320" s="176">
        <f t="shared" si="279"/>
        <v>1</v>
      </c>
      <c r="AO320" s="176">
        <f t="shared" si="280"/>
        <v>1</v>
      </c>
      <c r="AP320" s="176">
        <f t="shared" si="281"/>
        <v>1</v>
      </c>
      <c r="AQ320" s="176">
        <f t="shared" si="282"/>
        <v>1</v>
      </c>
      <c r="AR320" s="176">
        <f t="shared" si="283"/>
        <v>1</v>
      </c>
      <c r="AS320" s="176">
        <f t="shared" si="284"/>
        <v>1</v>
      </c>
      <c r="AT320" s="176">
        <f t="shared" si="285"/>
        <v>1</v>
      </c>
      <c r="AU320" s="176">
        <f t="shared" si="286"/>
        <v>-0.61292367058823538</v>
      </c>
      <c r="AV320" s="176">
        <f t="shared" si="287"/>
        <v>0.46235877647058826</v>
      </c>
    </row>
    <row r="321" spans="1:48" x14ac:dyDescent="0.25">
      <c r="A321" s="7">
        <v>301030102</v>
      </c>
      <c r="B321" s="8" t="s">
        <v>551</v>
      </c>
      <c r="C321" s="9">
        <f t="shared" ref="C321:N321" si="341">+C322</f>
        <v>0</v>
      </c>
      <c r="D321" s="9">
        <f t="shared" si="341"/>
        <v>0</v>
      </c>
      <c r="E321" s="9">
        <f t="shared" si="341"/>
        <v>0</v>
      </c>
      <c r="F321" s="9">
        <f t="shared" si="341"/>
        <v>0</v>
      </c>
      <c r="G321" s="9">
        <f t="shared" si="341"/>
        <v>0</v>
      </c>
      <c r="H321" s="9">
        <f t="shared" si="341"/>
        <v>0</v>
      </c>
      <c r="I321" s="9">
        <f t="shared" si="341"/>
        <v>0</v>
      </c>
      <c r="J321" s="9">
        <f t="shared" si="341"/>
        <v>0</v>
      </c>
      <c r="K321" s="9">
        <f t="shared" si="341"/>
        <v>40000000</v>
      </c>
      <c r="L321" s="9">
        <f t="shared" si="341"/>
        <v>0</v>
      </c>
      <c r="M321" s="9">
        <f t="shared" si="341"/>
        <v>0</v>
      </c>
      <c r="N321" s="9">
        <f t="shared" si="341"/>
        <v>0</v>
      </c>
      <c r="O321" s="9">
        <f t="shared" si="292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f t="shared" ref="W321" si="342">+W322</f>
        <v>0</v>
      </c>
      <c r="X321" s="9"/>
      <c r="Y321" s="9"/>
      <c r="Z321" s="9"/>
      <c r="AA321" s="9"/>
      <c r="AB321" s="9"/>
      <c r="AC321" s="9"/>
      <c r="AD321" s="9"/>
      <c r="AE321" s="9"/>
      <c r="AF321" s="9">
        <f t="shared" si="271"/>
        <v>0</v>
      </c>
      <c r="AG321" s="9">
        <f t="shared" si="272"/>
        <v>0</v>
      </c>
      <c r="AI321" s="175" t="e">
        <f t="shared" si="290"/>
        <v>#DIV/0!</v>
      </c>
      <c r="AJ321" s="175" t="e">
        <f t="shared" si="275"/>
        <v>#DIV/0!</v>
      </c>
      <c r="AK321" s="175" t="e">
        <f t="shared" si="276"/>
        <v>#DIV/0!</v>
      </c>
      <c r="AL321" s="175" t="e">
        <f t="shared" si="277"/>
        <v>#DIV/0!</v>
      </c>
      <c r="AM321" s="175" t="e">
        <f t="shared" si="278"/>
        <v>#DIV/0!</v>
      </c>
      <c r="AN321" s="175" t="e">
        <f t="shared" si="279"/>
        <v>#DIV/0!</v>
      </c>
      <c r="AO321" s="175" t="e">
        <f t="shared" si="280"/>
        <v>#DIV/0!</v>
      </c>
      <c r="AP321" s="175" t="e">
        <f t="shared" si="281"/>
        <v>#DIV/0!</v>
      </c>
      <c r="AQ321" s="175">
        <f t="shared" si="282"/>
        <v>1</v>
      </c>
      <c r="AR321" s="175" t="e">
        <f t="shared" si="283"/>
        <v>#DIV/0!</v>
      </c>
      <c r="AS321" s="175" t="e">
        <f t="shared" si="284"/>
        <v>#DIV/0!</v>
      </c>
      <c r="AT321" s="175" t="e">
        <f t="shared" si="285"/>
        <v>#DIV/0!</v>
      </c>
      <c r="AU321" s="175" t="e">
        <f t="shared" si="286"/>
        <v>#DIV/0!</v>
      </c>
      <c r="AV321" s="175">
        <f t="shared" si="287"/>
        <v>1</v>
      </c>
    </row>
    <row r="322" spans="1:48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292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61">
        <v>0</v>
      </c>
      <c r="X322" s="21"/>
      <c r="Y322" s="21"/>
      <c r="Z322" s="21"/>
      <c r="AA322" s="21"/>
      <c r="AB322" s="21"/>
      <c r="AC322" s="21"/>
      <c r="AD322" s="21"/>
      <c r="AE322" s="21"/>
      <c r="AF322" s="261">
        <f t="shared" si="271"/>
        <v>0</v>
      </c>
      <c r="AG322" s="21">
        <f t="shared" si="272"/>
        <v>0</v>
      </c>
      <c r="AI322" s="176" t="e">
        <f t="shared" si="290"/>
        <v>#DIV/0!</v>
      </c>
      <c r="AJ322" s="176" t="e">
        <f t="shared" si="275"/>
        <v>#DIV/0!</v>
      </c>
      <c r="AK322" s="176" t="e">
        <f t="shared" si="276"/>
        <v>#DIV/0!</v>
      </c>
      <c r="AL322" s="176" t="e">
        <f t="shared" si="277"/>
        <v>#DIV/0!</v>
      </c>
      <c r="AM322" s="176" t="e">
        <f t="shared" si="278"/>
        <v>#DIV/0!</v>
      </c>
      <c r="AN322" s="176" t="e">
        <f t="shared" si="279"/>
        <v>#DIV/0!</v>
      </c>
      <c r="AO322" s="176" t="e">
        <f t="shared" si="280"/>
        <v>#DIV/0!</v>
      </c>
      <c r="AP322" s="176" t="e">
        <f t="shared" si="281"/>
        <v>#DIV/0!</v>
      </c>
      <c r="AQ322" s="176">
        <f t="shared" si="282"/>
        <v>1</v>
      </c>
      <c r="AR322" s="176" t="e">
        <f t="shared" si="283"/>
        <v>#DIV/0!</v>
      </c>
      <c r="AS322" s="176" t="e">
        <f t="shared" si="284"/>
        <v>#DIV/0!</v>
      </c>
      <c r="AT322" s="176" t="e">
        <f t="shared" si="285"/>
        <v>#DIV/0!</v>
      </c>
      <c r="AU322" s="176" t="e">
        <f t="shared" si="286"/>
        <v>#DIV/0!</v>
      </c>
      <c r="AV322" s="176">
        <f t="shared" si="287"/>
        <v>1</v>
      </c>
    </row>
    <row r="323" spans="1:48" x14ac:dyDescent="0.25">
      <c r="A323" s="7">
        <v>301020102</v>
      </c>
      <c r="B323" s="8" t="s">
        <v>553</v>
      </c>
      <c r="C323" s="9">
        <f t="shared" ref="C323:N323" si="343">+C324+C325</f>
        <v>25000000</v>
      </c>
      <c r="D323" s="9">
        <f t="shared" si="343"/>
        <v>25000000</v>
      </c>
      <c r="E323" s="9">
        <f t="shared" si="343"/>
        <v>25000000</v>
      </c>
      <c r="F323" s="9">
        <f t="shared" si="343"/>
        <v>25000000</v>
      </c>
      <c r="G323" s="9">
        <f t="shared" si="343"/>
        <v>25000000</v>
      </c>
      <c r="H323" s="9">
        <f t="shared" si="343"/>
        <v>25000000</v>
      </c>
      <c r="I323" s="9">
        <f t="shared" si="343"/>
        <v>0</v>
      </c>
      <c r="J323" s="9">
        <f t="shared" si="343"/>
        <v>0</v>
      </c>
      <c r="K323" s="9">
        <f t="shared" si="343"/>
        <v>200000000</v>
      </c>
      <c r="L323" s="9">
        <f t="shared" si="343"/>
        <v>0</v>
      </c>
      <c r="M323" s="9">
        <f t="shared" si="343"/>
        <v>0</v>
      </c>
      <c r="N323" s="9">
        <f t="shared" si="343"/>
        <v>0</v>
      </c>
      <c r="O323" s="9">
        <f t="shared" si="292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f t="shared" ref="W323" si="344">+W324+W325</f>
        <v>16500000</v>
      </c>
      <c r="X323" s="9"/>
      <c r="Y323" s="9"/>
      <c r="Z323" s="9"/>
      <c r="AA323" s="9"/>
      <c r="AB323" s="9"/>
      <c r="AC323" s="9"/>
      <c r="AD323" s="9"/>
      <c r="AE323" s="9"/>
      <c r="AF323" s="9">
        <f t="shared" si="271"/>
        <v>79000000</v>
      </c>
      <c r="AG323" s="9">
        <f t="shared" si="272"/>
        <v>79000000</v>
      </c>
      <c r="AI323" s="175">
        <f t="shared" si="290"/>
        <v>-1.2</v>
      </c>
      <c r="AJ323" s="175">
        <f t="shared" si="275"/>
        <v>1</v>
      </c>
      <c r="AK323" s="175">
        <f t="shared" si="276"/>
        <v>0.7</v>
      </c>
      <c r="AL323" s="175">
        <f t="shared" si="277"/>
        <v>0.34</v>
      </c>
      <c r="AM323" s="175">
        <f t="shared" si="278"/>
        <v>1</v>
      </c>
      <c r="AN323" s="175">
        <f t="shared" si="279"/>
        <v>1</v>
      </c>
      <c r="AO323" s="175" t="e">
        <f t="shared" si="280"/>
        <v>#DIV/0!</v>
      </c>
      <c r="AP323" s="175" t="e">
        <f t="shared" si="281"/>
        <v>#DIV/0!</v>
      </c>
      <c r="AQ323" s="175">
        <f t="shared" si="282"/>
        <v>1</v>
      </c>
      <c r="AR323" s="175" t="e">
        <f t="shared" si="283"/>
        <v>#DIV/0!</v>
      </c>
      <c r="AS323" s="175" t="e">
        <f t="shared" si="284"/>
        <v>#DIV/0!</v>
      </c>
      <c r="AT323" s="175" t="e">
        <f t="shared" si="285"/>
        <v>#DIV/0!</v>
      </c>
      <c r="AU323" s="175">
        <f t="shared" si="286"/>
        <v>0.21</v>
      </c>
      <c r="AV323" s="175">
        <f t="shared" si="287"/>
        <v>0.77428571428571424</v>
      </c>
    </row>
    <row r="324" spans="1:48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292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61">
        <v>0</v>
      </c>
      <c r="X324" s="21"/>
      <c r="Y324" s="21"/>
      <c r="Z324" s="21"/>
      <c r="AA324" s="21"/>
      <c r="AB324" s="21"/>
      <c r="AC324" s="21"/>
      <c r="AD324" s="21"/>
      <c r="AE324" s="21"/>
      <c r="AF324" s="261">
        <f t="shared" si="271"/>
        <v>0</v>
      </c>
      <c r="AG324" s="21">
        <f t="shared" si="272"/>
        <v>0</v>
      </c>
      <c r="AI324" s="176" t="e">
        <f t="shared" si="290"/>
        <v>#DIV/0!</v>
      </c>
      <c r="AJ324" s="176" t="e">
        <f t="shared" si="275"/>
        <v>#DIV/0!</v>
      </c>
      <c r="AK324" s="176" t="e">
        <f t="shared" si="276"/>
        <v>#DIV/0!</v>
      </c>
      <c r="AL324" s="176" t="e">
        <f t="shared" si="277"/>
        <v>#DIV/0!</v>
      </c>
      <c r="AM324" s="176" t="e">
        <f t="shared" si="278"/>
        <v>#DIV/0!</v>
      </c>
      <c r="AN324" s="176" t="e">
        <f t="shared" si="279"/>
        <v>#DIV/0!</v>
      </c>
      <c r="AO324" s="176" t="e">
        <f t="shared" si="280"/>
        <v>#DIV/0!</v>
      </c>
      <c r="AP324" s="176" t="e">
        <f t="shared" si="281"/>
        <v>#DIV/0!</v>
      </c>
      <c r="AQ324" s="176">
        <f t="shared" si="282"/>
        <v>1</v>
      </c>
      <c r="AR324" s="176" t="e">
        <f t="shared" si="283"/>
        <v>#DIV/0!</v>
      </c>
      <c r="AS324" s="176" t="e">
        <f t="shared" si="284"/>
        <v>#DIV/0!</v>
      </c>
      <c r="AT324" s="176" t="e">
        <f t="shared" si="285"/>
        <v>#DIV/0!</v>
      </c>
      <c r="AU324" s="176" t="e">
        <f t="shared" si="286"/>
        <v>#DIV/0!</v>
      </c>
      <c r="AV324" s="176">
        <f t="shared" si="287"/>
        <v>1</v>
      </c>
    </row>
    <row r="325" spans="1:48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292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61">
        <v>16500000</v>
      </c>
      <c r="X325" s="21"/>
      <c r="Y325" s="21"/>
      <c r="Z325" s="21"/>
      <c r="AA325" s="21"/>
      <c r="AB325" s="21"/>
      <c r="AC325" s="21"/>
      <c r="AD325" s="21"/>
      <c r="AE325" s="21"/>
      <c r="AF325" s="261">
        <f t="shared" si="271"/>
        <v>79000000</v>
      </c>
      <c r="AG325" s="21">
        <f t="shared" si="272"/>
        <v>79000000</v>
      </c>
      <c r="AI325" s="176">
        <f t="shared" si="290"/>
        <v>-1.2</v>
      </c>
      <c r="AJ325" s="176">
        <f t="shared" si="275"/>
        <v>1</v>
      </c>
      <c r="AK325" s="176">
        <f t="shared" si="276"/>
        <v>0.7</v>
      </c>
      <c r="AL325" s="176">
        <f t="shared" si="277"/>
        <v>0.34</v>
      </c>
      <c r="AM325" s="176">
        <f t="shared" si="278"/>
        <v>1</v>
      </c>
      <c r="AN325" s="176">
        <f t="shared" si="279"/>
        <v>1</v>
      </c>
      <c r="AO325" s="176" t="e">
        <f t="shared" si="280"/>
        <v>#DIV/0!</v>
      </c>
      <c r="AP325" s="176" t="e">
        <f t="shared" si="281"/>
        <v>#DIV/0!</v>
      </c>
      <c r="AQ325" s="176" t="e">
        <f t="shared" si="282"/>
        <v>#DIV/0!</v>
      </c>
      <c r="AR325" s="176" t="e">
        <f t="shared" si="283"/>
        <v>#DIV/0!</v>
      </c>
      <c r="AS325" s="176" t="e">
        <f t="shared" si="284"/>
        <v>#DIV/0!</v>
      </c>
      <c r="AT325" s="176" t="e">
        <f t="shared" si="285"/>
        <v>#DIV/0!</v>
      </c>
      <c r="AU325" s="176">
        <f t="shared" si="286"/>
        <v>0.21</v>
      </c>
      <c r="AV325" s="176">
        <f t="shared" si="287"/>
        <v>0.47333333333333333</v>
      </c>
    </row>
    <row r="326" spans="1:48" x14ac:dyDescent="0.25">
      <c r="A326" s="4">
        <v>30103</v>
      </c>
      <c r="B326" s="5" t="s">
        <v>556</v>
      </c>
      <c r="C326" s="6">
        <f t="shared" ref="C326:N326" si="345">+C327+C332</f>
        <v>450000000</v>
      </c>
      <c r="D326" s="6">
        <f t="shared" si="345"/>
        <v>0</v>
      </c>
      <c r="E326" s="6">
        <f t="shared" si="345"/>
        <v>0</v>
      </c>
      <c r="F326" s="6">
        <f t="shared" si="345"/>
        <v>400000000</v>
      </c>
      <c r="G326" s="6">
        <f t="shared" si="345"/>
        <v>0</v>
      </c>
      <c r="H326" s="6">
        <f t="shared" si="345"/>
        <v>0</v>
      </c>
      <c r="I326" s="6">
        <f t="shared" si="345"/>
        <v>0</v>
      </c>
      <c r="J326" s="6">
        <f t="shared" si="345"/>
        <v>0</v>
      </c>
      <c r="K326" s="6">
        <f t="shared" si="345"/>
        <v>1075000000</v>
      </c>
      <c r="L326" s="6">
        <f t="shared" si="345"/>
        <v>0</v>
      </c>
      <c r="M326" s="6">
        <f t="shared" si="345"/>
        <v>0</v>
      </c>
      <c r="N326" s="6">
        <f t="shared" si="345"/>
        <v>0</v>
      </c>
      <c r="O326" s="6">
        <f t="shared" si="292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f t="shared" ref="W326" si="346">+W327+W332</f>
        <v>19950000</v>
      </c>
      <c r="X326" s="6"/>
      <c r="Y326" s="6"/>
      <c r="Z326" s="6"/>
      <c r="AA326" s="6"/>
      <c r="AB326" s="6"/>
      <c r="AC326" s="6"/>
      <c r="AD326" s="6"/>
      <c r="AE326" s="6"/>
      <c r="AF326" s="6">
        <f t="shared" ref="AF326:AF389" si="347">+T326+U326+V326+W326</f>
        <v>222100000</v>
      </c>
      <c r="AG326" s="6">
        <f t="shared" ref="AG326:AG389" si="348">+T326+U326+V326+W326</f>
        <v>222100000</v>
      </c>
      <c r="AI326" s="174">
        <f t="shared" si="290"/>
        <v>0.62444444444444447</v>
      </c>
      <c r="AJ326" s="174" t="e">
        <f t="shared" si="275"/>
        <v>#DIV/0!</v>
      </c>
      <c r="AK326" s="174" t="e">
        <f t="shared" si="276"/>
        <v>#DIV/0!</v>
      </c>
      <c r="AL326" s="174">
        <f t="shared" si="277"/>
        <v>0.950125</v>
      </c>
      <c r="AM326" s="174" t="e">
        <f t="shared" si="278"/>
        <v>#DIV/0!</v>
      </c>
      <c r="AN326" s="174" t="e">
        <f t="shared" si="279"/>
        <v>#DIV/0!</v>
      </c>
      <c r="AO326" s="174" t="e">
        <f t="shared" si="280"/>
        <v>#DIV/0!</v>
      </c>
      <c r="AP326" s="174" t="e">
        <f t="shared" si="281"/>
        <v>#DIV/0!</v>
      </c>
      <c r="AQ326" s="174">
        <f t="shared" si="282"/>
        <v>1</v>
      </c>
      <c r="AR326" s="174" t="e">
        <f t="shared" si="283"/>
        <v>#DIV/0!</v>
      </c>
      <c r="AS326" s="174" t="e">
        <f t="shared" si="284"/>
        <v>#DIV/0!</v>
      </c>
      <c r="AT326" s="174" t="e">
        <f t="shared" si="285"/>
        <v>#DIV/0!</v>
      </c>
      <c r="AU326" s="174">
        <f t="shared" si="286"/>
        <v>0.73870588235294121</v>
      </c>
      <c r="AV326" s="174">
        <f t="shared" si="287"/>
        <v>0.88462337662337664</v>
      </c>
    </row>
    <row r="327" spans="1:48" x14ac:dyDescent="0.25">
      <c r="A327" s="7">
        <v>3010301</v>
      </c>
      <c r="B327" s="8" t="s">
        <v>854</v>
      </c>
      <c r="C327" s="9">
        <f t="shared" ref="C327:N327" si="349">+C328</f>
        <v>450000000</v>
      </c>
      <c r="D327" s="9">
        <f t="shared" si="349"/>
        <v>0</v>
      </c>
      <c r="E327" s="9">
        <f t="shared" si="349"/>
        <v>0</v>
      </c>
      <c r="F327" s="9">
        <f t="shared" si="349"/>
        <v>0</v>
      </c>
      <c r="G327" s="9">
        <f t="shared" si="349"/>
        <v>0</v>
      </c>
      <c r="H327" s="9">
        <f t="shared" si="349"/>
        <v>0</v>
      </c>
      <c r="I327" s="9">
        <f t="shared" si="349"/>
        <v>0</v>
      </c>
      <c r="J327" s="9">
        <f t="shared" si="349"/>
        <v>0</v>
      </c>
      <c r="K327" s="9">
        <f t="shared" si="349"/>
        <v>350000000</v>
      </c>
      <c r="L327" s="9">
        <f t="shared" si="349"/>
        <v>0</v>
      </c>
      <c r="M327" s="9">
        <f t="shared" si="349"/>
        <v>0</v>
      </c>
      <c r="N327" s="9">
        <f t="shared" si="349"/>
        <v>0</v>
      </c>
      <c r="O327" s="9">
        <f t="shared" si="292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f t="shared" ref="W327" si="350">+W328</f>
        <v>19950000</v>
      </c>
      <c r="X327" s="9"/>
      <c r="Y327" s="9"/>
      <c r="Z327" s="9"/>
      <c r="AA327" s="9"/>
      <c r="AB327" s="9"/>
      <c r="AC327" s="9"/>
      <c r="AD327" s="9"/>
      <c r="AE327" s="9"/>
      <c r="AF327" s="9">
        <f t="shared" si="347"/>
        <v>222100000</v>
      </c>
      <c r="AG327" s="9">
        <f t="shared" si="348"/>
        <v>222100000</v>
      </c>
      <c r="AI327" s="175">
        <f t="shared" si="290"/>
        <v>0.62444444444444447</v>
      </c>
      <c r="AJ327" s="175" t="e">
        <f t="shared" si="275"/>
        <v>#DIV/0!</v>
      </c>
      <c r="AK327" s="175" t="e">
        <f t="shared" si="276"/>
        <v>#DIV/0!</v>
      </c>
      <c r="AL327" s="175" t="e">
        <f t="shared" si="277"/>
        <v>#DIV/0!</v>
      </c>
      <c r="AM327" s="175" t="e">
        <f t="shared" si="278"/>
        <v>#DIV/0!</v>
      </c>
      <c r="AN327" s="175" t="e">
        <f t="shared" si="279"/>
        <v>#DIV/0!</v>
      </c>
      <c r="AO327" s="175" t="e">
        <f t="shared" si="280"/>
        <v>#DIV/0!</v>
      </c>
      <c r="AP327" s="175" t="e">
        <f t="shared" si="281"/>
        <v>#DIV/0!</v>
      </c>
      <c r="AQ327" s="175">
        <f t="shared" si="282"/>
        <v>1</v>
      </c>
      <c r="AR327" s="175" t="e">
        <f t="shared" si="283"/>
        <v>#DIV/0!</v>
      </c>
      <c r="AS327" s="175" t="e">
        <f t="shared" si="284"/>
        <v>#DIV/0!</v>
      </c>
      <c r="AT327" s="175" t="e">
        <f t="shared" si="285"/>
        <v>#DIV/0!</v>
      </c>
      <c r="AU327" s="175">
        <f t="shared" si="286"/>
        <v>0.50644444444444447</v>
      </c>
      <c r="AV327" s="175">
        <f t="shared" si="287"/>
        <v>0.72237499999999999</v>
      </c>
    </row>
    <row r="328" spans="1:48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351">+D329+D330+D331</f>
        <v>0</v>
      </c>
      <c r="E328" s="9">
        <f t="shared" si="351"/>
        <v>0</v>
      </c>
      <c r="F328" s="9">
        <f t="shared" si="351"/>
        <v>0</v>
      </c>
      <c r="G328" s="9">
        <f t="shared" si="351"/>
        <v>0</v>
      </c>
      <c r="H328" s="9">
        <f t="shared" si="351"/>
        <v>0</v>
      </c>
      <c r="I328" s="9">
        <f t="shared" si="351"/>
        <v>0</v>
      </c>
      <c r="J328" s="9">
        <f t="shared" si="351"/>
        <v>0</v>
      </c>
      <c r="K328" s="9">
        <f t="shared" si="351"/>
        <v>350000000</v>
      </c>
      <c r="L328" s="9">
        <f t="shared" si="351"/>
        <v>0</v>
      </c>
      <c r="M328" s="9">
        <f t="shared" si="351"/>
        <v>0</v>
      </c>
      <c r="N328" s="9">
        <f t="shared" si="351"/>
        <v>0</v>
      </c>
      <c r="O328" s="9">
        <f t="shared" si="292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f t="shared" ref="W328" si="352">+W329+W330+W331</f>
        <v>19950000</v>
      </c>
      <c r="X328" s="9"/>
      <c r="Y328" s="9"/>
      <c r="Z328" s="9"/>
      <c r="AA328" s="9"/>
      <c r="AB328" s="9"/>
      <c r="AC328" s="9"/>
      <c r="AD328" s="9"/>
      <c r="AE328" s="9"/>
      <c r="AF328" s="9">
        <f t="shared" si="347"/>
        <v>222100000</v>
      </c>
      <c r="AG328" s="9">
        <f t="shared" si="348"/>
        <v>222100000</v>
      </c>
      <c r="AI328" s="175">
        <f t="shared" si="290"/>
        <v>0.62444444444444447</v>
      </c>
      <c r="AJ328" s="175" t="e">
        <f t="shared" si="275"/>
        <v>#DIV/0!</v>
      </c>
      <c r="AK328" s="175" t="e">
        <f t="shared" si="276"/>
        <v>#DIV/0!</v>
      </c>
      <c r="AL328" s="175" t="e">
        <f t="shared" si="277"/>
        <v>#DIV/0!</v>
      </c>
      <c r="AM328" s="175" t="e">
        <f t="shared" si="278"/>
        <v>#DIV/0!</v>
      </c>
      <c r="AN328" s="175" t="e">
        <f t="shared" si="279"/>
        <v>#DIV/0!</v>
      </c>
      <c r="AO328" s="175" t="e">
        <f t="shared" si="280"/>
        <v>#DIV/0!</v>
      </c>
      <c r="AP328" s="175" t="e">
        <f t="shared" si="281"/>
        <v>#DIV/0!</v>
      </c>
      <c r="AQ328" s="175">
        <f t="shared" si="282"/>
        <v>1</v>
      </c>
      <c r="AR328" s="175" t="e">
        <f t="shared" si="283"/>
        <v>#DIV/0!</v>
      </c>
      <c r="AS328" s="175" t="e">
        <f t="shared" si="284"/>
        <v>#DIV/0!</v>
      </c>
      <c r="AT328" s="175" t="e">
        <f t="shared" si="285"/>
        <v>#DIV/0!</v>
      </c>
      <c r="AU328" s="175">
        <f t="shared" si="286"/>
        <v>0.50644444444444447</v>
      </c>
      <c r="AV328" s="175">
        <f t="shared" si="287"/>
        <v>0.72237499999999999</v>
      </c>
    </row>
    <row r="329" spans="1:48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292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61">
        <v>0</v>
      </c>
      <c r="X329" s="21"/>
      <c r="Y329" s="21"/>
      <c r="Z329" s="21"/>
      <c r="AA329" s="21"/>
      <c r="AB329" s="21"/>
      <c r="AC329" s="21"/>
      <c r="AD329" s="21"/>
      <c r="AE329" s="21"/>
      <c r="AF329" s="261">
        <f t="shared" si="347"/>
        <v>0</v>
      </c>
      <c r="AG329" s="21">
        <f t="shared" si="348"/>
        <v>0</v>
      </c>
      <c r="AI329" s="176" t="e">
        <f t="shared" si="290"/>
        <v>#DIV/0!</v>
      </c>
      <c r="AJ329" s="176" t="e">
        <f t="shared" si="275"/>
        <v>#DIV/0!</v>
      </c>
      <c r="AK329" s="176" t="e">
        <f t="shared" si="276"/>
        <v>#DIV/0!</v>
      </c>
      <c r="AL329" s="176" t="e">
        <f t="shared" si="277"/>
        <v>#DIV/0!</v>
      </c>
      <c r="AM329" s="176" t="e">
        <f t="shared" si="278"/>
        <v>#DIV/0!</v>
      </c>
      <c r="AN329" s="176" t="e">
        <f t="shared" si="279"/>
        <v>#DIV/0!</v>
      </c>
      <c r="AO329" s="176" t="e">
        <f t="shared" si="280"/>
        <v>#DIV/0!</v>
      </c>
      <c r="AP329" s="176" t="e">
        <f t="shared" si="281"/>
        <v>#DIV/0!</v>
      </c>
      <c r="AQ329" s="176">
        <f t="shared" si="282"/>
        <v>1</v>
      </c>
      <c r="AR329" s="176" t="e">
        <f t="shared" si="283"/>
        <v>#DIV/0!</v>
      </c>
      <c r="AS329" s="176" t="e">
        <f t="shared" si="284"/>
        <v>#DIV/0!</v>
      </c>
      <c r="AT329" s="176" t="e">
        <f t="shared" si="285"/>
        <v>#DIV/0!</v>
      </c>
      <c r="AU329" s="176" t="e">
        <f t="shared" si="286"/>
        <v>#DIV/0!</v>
      </c>
      <c r="AV329" s="176">
        <f t="shared" si="287"/>
        <v>1</v>
      </c>
    </row>
    <row r="330" spans="1:48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292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61">
        <v>7750000</v>
      </c>
      <c r="X330" s="21"/>
      <c r="Y330" s="21"/>
      <c r="Z330" s="21"/>
      <c r="AA330" s="21"/>
      <c r="AB330" s="21"/>
      <c r="AC330" s="21"/>
      <c r="AD330" s="21"/>
      <c r="AE330" s="21"/>
      <c r="AF330" s="261">
        <f t="shared" si="347"/>
        <v>87700000</v>
      </c>
      <c r="AG330" s="21">
        <f t="shared" si="348"/>
        <v>87700000</v>
      </c>
      <c r="AI330" s="176">
        <f t="shared" si="290"/>
        <v>0.80285714285714282</v>
      </c>
      <c r="AJ330" s="176" t="e">
        <f t="shared" ref="AJ330:AJ393" si="353">(D330-U330)/D330</f>
        <v>#DIV/0!</v>
      </c>
      <c r="AK330" s="176" t="e">
        <f t="shared" ref="AK330:AK393" si="354">(E330-V330)/E330</f>
        <v>#DIV/0!</v>
      </c>
      <c r="AL330" s="176" t="e">
        <f t="shared" ref="AL330:AL393" si="355">(F330-W330)/F330</f>
        <v>#DIV/0!</v>
      </c>
      <c r="AM330" s="176" t="e">
        <f t="shared" ref="AM330:AM393" si="356">(G330-X330)/G330</f>
        <v>#DIV/0!</v>
      </c>
      <c r="AN330" s="176" t="e">
        <f t="shared" ref="AN330:AN393" si="357">(H330-Y330)/H330</f>
        <v>#DIV/0!</v>
      </c>
      <c r="AO330" s="176" t="e">
        <f t="shared" ref="AO330:AO393" si="358">(I330-Z330)/I330</f>
        <v>#DIV/0!</v>
      </c>
      <c r="AP330" s="176" t="e">
        <f t="shared" ref="AP330:AP393" si="359">(J330-AA330)/J330</f>
        <v>#DIV/0!</v>
      </c>
      <c r="AQ330" s="176" t="e">
        <f t="shared" ref="AQ330:AQ393" si="360">(K330-AB330)/K330</f>
        <v>#DIV/0!</v>
      </c>
      <c r="AR330" s="176" t="e">
        <f t="shared" ref="AR330:AR393" si="361">(L330-AC330)/L330</f>
        <v>#DIV/0!</v>
      </c>
      <c r="AS330" s="176" t="e">
        <f t="shared" ref="AS330:AS393" si="362">(M330-AD330)/M330</f>
        <v>#DIV/0!</v>
      </c>
      <c r="AT330" s="176" t="e">
        <f t="shared" ref="AT330:AT393" si="363">(N330-AE330)/N330</f>
        <v>#DIV/0!</v>
      </c>
      <c r="AU330" s="176">
        <f t="shared" ref="AU330:AU393" si="364">(O330-AF330)/O330</f>
        <v>0.74942857142857144</v>
      </c>
      <c r="AV330" s="176">
        <f t="shared" ref="AV330:AV393" si="365">(P330-AG330)/P330</f>
        <v>0.74942857142857144</v>
      </c>
    </row>
    <row r="331" spans="1:48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366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61">
        <v>12200000</v>
      </c>
      <c r="X331" s="21"/>
      <c r="Y331" s="21"/>
      <c r="Z331" s="21"/>
      <c r="AA331" s="21"/>
      <c r="AB331" s="21"/>
      <c r="AC331" s="21"/>
      <c r="AD331" s="21"/>
      <c r="AE331" s="21"/>
      <c r="AF331" s="261">
        <f t="shared" si="347"/>
        <v>134400000</v>
      </c>
      <c r="AG331" s="21">
        <f t="shared" si="348"/>
        <v>134400000</v>
      </c>
      <c r="AI331" s="176">
        <f t="shared" ref="AI331:AI394" si="367">(C331-T331)/C331</f>
        <v>0</v>
      </c>
      <c r="AJ331" s="176" t="e">
        <f t="shared" si="353"/>
        <v>#DIV/0!</v>
      </c>
      <c r="AK331" s="176" t="e">
        <f t="shared" si="354"/>
        <v>#DIV/0!</v>
      </c>
      <c r="AL331" s="176" t="e">
        <f t="shared" si="355"/>
        <v>#DIV/0!</v>
      </c>
      <c r="AM331" s="176" t="e">
        <f t="shared" si="356"/>
        <v>#DIV/0!</v>
      </c>
      <c r="AN331" s="176" t="e">
        <f t="shared" si="357"/>
        <v>#DIV/0!</v>
      </c>
      <c r="AO331" s="176" t="e">
        <f t="shared" si="358"/>
        <v>#DIV/0!</v>
      </c>
      <c r="AP331" s="176" t="e">
        <f t="shared" si="359"/>
        <v>#DIV/0!</v>
      </c>
      <c r="AQ331" s="176" t="e">
        <f t="shared" si="360"/>
        <v>#DIV/0!</v>
      </c>
      <c r="AR331" s="176" t="e">
        <f t="shared" si="361"/>
        <v>#DIV/0!</v>
      </c>
      <c r="AS331" s="176" t="e">
        <f t="shared" si="362"/>
        <v>#DIV/0!</v>
      </c>
      <c r="AT331" s="176" t="e">
        <f t="shared" si="363"/>
        <v>#DIV/0!</v>
      </c>
      <c r="AU331" s="176">
        <f t="shared" si="364"/>
        <v>-0.34399999999999997</v>
      </c>
      <c r="AV331" s="176">
        <f t="shared" si="365"/>
        <v>-0.34399999999999997</v>
      </c>
    </row>
    <row r="332" spans="1:48" x14ac:dyDescent="0.25">
      <c r="A332" s="7">
        <v>3010302</v>
      </c>
      <c r="B332" s="8" t="s">
        <v>858</v>
      </c>
      <c r="C332" s="9">
        <f t="shared" ref="C332:N333" si="368">+C333</f>
        <v>0</v>
      </c>
      <c r="D332" s="9">
        <f t="shared" si="368"/>
        <v>0</v>
      </c>
      <c r="E332" s="9">
        <f t="shared" si="368"/>
        <v>0</v>
      </c>
      <c r="F332" s="9">
        <f t="shared" si="368"/>
        <v>400000000</v>
      </c>
      <c r="G332" s="9">
        <f t="shared" si="368"/>
        <v>0</v>
      </c>
      <c r="H332" s="9">
        <f t="shared" si="368"/>
        <v>0</v>
      </c>
      <c r="I332" s="9">
        <f t="shared" si="368"/>
        <v>0</v>
      </c>
      <c r="J332" s="9">
        <f t="shared" si="368"/>
        <v>0</v>
      </c>
      <c r="K332" s="9">
        <f t="shared" si="368"/>
        <v>725000000</v>
      </c>
      <c r="L332" s="9">
        <f t="shared" si="368"/>
        <v>0</v>
      </c>
      <c r="M332" s="9">
        <f t="shared" si="368"/>
        <v>0</v>
      </c>
      <c r="N332" s="9">
        <f t="shared" si="368"/>
        <v>0</v>
      </c>
      <c r="O332" s="9">
        <f t="shared" si="366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f t="shared" ref="W332:W333" si="369">+W333</f>
        <v>0</v>
      </c>
      <c r="X332" s="9"/>
      <c r="Y332" s="9"/>
      <c r="Z332" s="9"/>
      <c r="AA332" s="9"/>
      <c r="AB332" s="9"/>
      <c r="AC332" s="9"/>
      <c r="AD332" s="9"/>
      <c r="AE332" s="9"/>
      <c r="AF332" s="9">
        <f t="shared" si="347"/>
        <v>0</v>
      </c>
      <c r="AG332" s="9">
        <f t="shared" si="348"/>
        <v>0</v>
      </c>
      <c r="AI332" s="175" t="e">
        <f t="shared" si="367"/>
        <v>#DIV/0!</v>
      </c>
      <c r="AJ332" s="175" t="e">
        <f t="shared" si="353"/>
        <v>#DIV/0!</v>
      </c>
      <c r="AK332" s="175" t="e">
        <f t="shared" si="354"/>
        <v>#DIV/0!</v>
      </c>
      <c r="AL332" s="175">
        <f t="shared" si="355"/>
        <v>1</v>
      </c>
      <c r="AM332" s="175" t="e">
        <f t="shared" si="356"/>
        <v>#DIV/0!</v>
      </c>
      <c r="AN332" s="175" t="e">
        <f t="shared" si="357"/>
        <v>#DIV/0!</v>
      </c>
      <c r="AO332" s="175" t="e">
        <f t="shared" si="358"/>
        <v>#DIV/0!</v>
      </c>
      <c r="AP332" s="175" t="e">
        <f t="shared" si="359"/>
        <v>#DIV/0!</v>
      </c>
      <c r="AQ332" s="175">
        <f t="shared" si="360"/>
        <v>1</v>
      </c>
      <c r="AR332" s="175" t="e">
        <f t="shared" si="361"/>
        <v>#DIV/0!</v>
      </c>
      <c r="AS332" s="175" t="e">
        <f t="shared" si="362"/>
        <v>#DIV/0!</v>
      </c>
      <c r="AT332" s="175" t="e">
        <f t="shared" si="363"/>
        <v>#DIV/0!</v>
      </c>
      <c r="AU332" s="175">
        <f t="shared" si="364"/>
        <v>1</v>
      </c>
      <c r="AV332" s="175">
        <f t="shared" si="365"/>
        <v>1</v>
      </c>
    </row>
    <row r="333" spans="1:48" x14ac:dyDescent="0.25">
      <c r="A333" s="7">
        <v>301030201</v>
      </c>
      <c r="B333" s="8" t="s">
        <v>563</v>
      </c>
      <c r="C333" s="9">
        <f t="shared" si="368"/>
        <v>0</v>
      </c>
      <c r="D333" s="9">
        <f t="shared" si="368"/>
        <v>0</v>
      </c>
      <c r="E333" s="9">
        <f t="shared" si="368"/>
        <v>0</v>
      </c>
      <c r="F333" s="9">
        <f t="shared" si="368"/>
        <v>400000000</v>
      </c>
      <c r="G333" s="9">
        <f t="shared" si="368"/>
        <v>0</v>
      </c>
      <c r="H333" s="9">
        <f t="shared" si="368"/>
        <v>0</v>
      </c>
      <c r="I333" s="9">
        <f t="shared" si="368"/>
        <v>0</v>
      </c>
      <c r="J333" s="9">
        <f t="shared" si="368"/>
        <v>0</v>
      </c>
      <c r="K333" s="9">
        <f t="shared" si="368"/>
        <v>725000000</v>
      </c>
      <c r="L333" s="9">
        <f t="shared" si="368"/>
        <v>0</v>
      </c>
      <c r="M333" s="9">
        <f t="shared" si="368"/>
        <v>0</v>
      </c>
      <c r="N333" s="9">
        <f t="shared" si="368"/>
        <v>0</v>
      </c>
      <c r="O333" s="9">
        <f t="shared" si="366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f t="shared" si="369"/>
        <v>0</v>
      </c>
      <c r="X333" s="9"/>
      <c r="Y333" s="9"/>
      <c r="Z333" s="9"/>
      <c r="AA333" s="9"/>
      <c r="AB333" s="9"/>
      <c r="AC333" s="9"/>
      <c r="AD333" s="9"/>
      <c r="AE333" s="9"/>
      <c r="AF333" s="9">
        <f t="shared" si="347"/>
        <v>0</v>
      </c>
      <c r="AG333" s="9">
        <f t="shared" si="348"/>
        <v>0</v>
      </c>
      <c r="AI333" s="175" t="e">
        <f t="shared" si="367"/>
        <v>#DIV/0!</v>
      </c>
      <c r="AJ333" s="175" t="e">
        <f t="shared" si="353"/>
        <v>#DIV/0!</v>
      </c>
      <c r="AK333" s="175" t="e">
        <f t="shared" si="354"/>
        <v>#DIV/0!</v>
      </c>
      <c r="AL333" s="175">
        <f t="shared" si="355"/>
        <v>1</v>
      </c>
      <c r="AM333" s="175" t="e">
        <f t="shared" si="356"/>
        <v>#DIV/0!</v>
      </c>
      <c r="AN333" s="175" t="e">
        <f t="shared" si="357"/>
        <v>#DIV/0!</v>
      </c>
      <c r="AO333" s="175" t="e">
        <f t="shared" si="358"/>
        <v>#DIV/0!</v>
      </c>
      <c r="AP333" s="175" t="e">
        <f t="shared" si="359"/>
        <v>#DIV/0!</v>
      </c>
      <c r="AQ333" s="175">
        <f t="shared" si="360"/>
        <v>1</v>
      </c>
      <c r="AR333" s="175" t="e">
        <f t="shared" si="361"/>
        <v>#DIV/0!</v>
      </c>
      <c r="AS333" s="175" t="e">
        <f t="shared" si="362"/>
        <v>#DIV/0!</v>
      </c>
      <c r="AT333" s="175" t="e">
        <f t="shared" si="363"/>
        <v>#DIV/0!</v>
      </c>
      <c r="AU333" s="175">
        <f t="shared" si="364"/>
        <v>1</v>
      </c>
      <c r="AV333" s="175">
        <f t="shared" si="365"/>
        <v>1</v>
      </c>
    </row>
    <row r="334" spans="1:48" x14ac:dyDescent="0.25">
      <c r="A334" s="7">
        <v>30103020101</v>
      </c>
      <c r="B334" s="8" t="s">
        <v>564</v>
      </c>
      <c r="C334" s="9">
        <f t="shared" ref="C334:N334" si="370">+C335+C336</f>
        <v>0</v>
      </c>
      <c r="D334" s="9">
        <f t="shared" si="370"/>
        <v>0</v>
      </c>
      <c r="E334" s="9">
        <f t="shared" si="370"/>
        <v>0</v>
      </c>
      <c r="F334" s="9">
        <f t="shared" si="370"/>
        <v>400000000</v>
      </c>
      <c r="G334" s="9">
        <f t="shared" si="370"/>
        <v>0</v>
      </c>
      <c r="H334" s="9">
        <f t="shared" si="370"/>
        <v>0</v>
      </c>
      <c r="I334" s="9">
        <f t="shared" si="370"/>
        <v>0</v>
      </c>
      <c r="J334" s="9">
        <f t="shared" si="370"/>
        <v>0</v>
      </c>
      <c r="K334" s="9">
        <f t="shared" si="370"/>
        <v>725000000</v>
      </c>
      <c r="L334" s="9">
        <f t="shared" si="370"/>
        <v>0</v>
      </c>
      <c r="M334" s="9">
        <f t="shared" si="370"/>
        <v>0</v>
      </c>
      <c r="N334" s="9">
        <f t="shared" si="370"/>
        <v>0</v>
      </c>
      <c r="O334" s="9">
        <f t="shared" si="366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f t="shared" ref="W334" si="371">+W335+W336</f>
        <v>0</v>
      </c>
      <c r="X334" s="9"/>
      <c r="Y334" s="9"/>
      <c r="Z334" s="9"/>
      <c r="AA334" s="9"/>
      <c r="AB334" s="9"/>
      <c r="AC334" s="9"/>
      <c r="AD334" s="9"/>
      <c r="AE334" s="9"/>
      <c r="AF334" s="9">
        <f t="shared" si="347"/>
        <v>0</v>
      </c>
      <c r="AG334" s="9">
        <f t="shared" si="348"/>
        <v>0</v>
      </c>
      <c r="AI334" s="175" t="e">
        <f t="shared" si="367"/>
        <v>#DIV/0!</v>
      </c>
      <c r="AJ334" s="175" t="e">
        <f t="shared" si="353"/>
        <v>#DIV/0!</v>
      </c>
      <c r="AK334" s="175" t="e">
        <f t="shared" si="354"/>
        <v>#DIV/0!</v>
      </c>
      <c r="AL334" s="175">
        <f t="shared" si="355"/>
        <v>1</v>
      </c>
      <c r="AM334" s="175" t="e">
        <f t="shared" si="356"/>
        <v>#DIV/0!</v>
      </c>
      <c r="AN334" s="175" t="e">
        <f t="shared" si="357"/>
        <v>#DIV/0!</v>
      </c>
      <c r="AO334" s="175" t="e">
        <f t="shared" si="358"/>
        <v>#DIV/0!</v>
      </c>
      <c r="AP334" s="175" t="e">
        <f t="shared" si="359"/>
        <v>#DIV/0!</v>
      </c>
      <c r="AQ334" s="175">
        <f t="shared" si="360"/>
        <v>1</v>
      </c>
      <c r="AR334" s="175" t="e">
        <f t="shared" si="361"/>
        <v>#DIV/0!</v>
      </c>
      <c r="AS334" s="175" t="e">
        <f t="shared" si="362"/>
        <v>#DIV/0!</v>
      </c>
      <c r="AT334" s="175" t="e">
        <f t="shared" si="363"/>
        <v>#DIV/0!</v>
      </c>
      <c r="AU334" s="175">
        <f t="shared" si="364"/>
        <v>1</v>
      </c>
      <c r="AV334" s="175">
        <f t="shared" si="365"/>
        <v>1</v>
      </c>
    </row>
    <row r="335" spans="1:48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366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61">
        <v>0</v>
      </c>
      <c r="X335" s="21"/>
      <c r="Y335" s="21"/>
      <c r="Z335" s="21"/>
      <c r="AA335" s="21"/>
      <c r="AB335" s="21"/>
      <c r="AC335" s="21"/>
      <c r="AD335" s="21"/>
      <c r="AE335" s="21"/>
      <c r="AF335" s="261">
        <f t="shared" si="347"/>
        <v>1372000</v>
      </c>
      <c r="AG335" s="21">
        <f t="shared" si="348"/>
        <v>1372000</v>
      </c>
      <c r="AI335" s="176" t="e">
        <f t="shared" si="367"/>
        <v>#DIV/0!</v>
      </c>
      <c r="AJ335" s="176" t="e">
        <f t="shared" si="353"/>
        <v>#DIV/0!</v>
      </c>
      <c r="AK335" s="176" t="e">
        <f t="shared" si="354"/>
        <v>#DIV/0!</v>
      </c>
      <c r="AL335" s="176" t="e">
        <f t="shared" si="355"/>
        <v>#DIV/0!</v>
      </c>
      <c r="AM335" s="176" t="e">
        <f t="shared" si="356"/>
        <v>#DIV/0!</v>
      </c>
      <c r="AN335" s="176" t="e">
        <f t="shared" si="357"/>
        <v>#DIV/0!</v>
      </c>
      <c r="AO335" s="176" t="e">
        <f t="shared" si="358"/>
        <v>#DIV/0!</v>
      </c>
      <c r="AP335" s="176" t="e">
        <f t="shared" si="359"/>
        <v>#DIV/0!</v>
      </c>
      <c r="AQ335" s="176">
        <f t="shared" si="360"/>
        <v>1</v>
      </c>
      <c r="AR335" s="176" t="e">
        <f t="shared" si="361"/>
        <v>#DIV/0!</v>
      </c>
      <c r="AS335" s="176" t="e">
        <f t="shared" si="362"/>
        <v>#DIV/0!</v>
      </c>
      <c r="AT335" s="176" t="e">
        <f t="shared" si="363"/>
        <v>#DIV/0!</v>
      </c>
      <c r="AU335" s="176" t="e">
        <f t="shared" si="364"/>
        <v>#DIV/0!</v>
      </c>
      <c r="AV335" s="176">
        <f t="shared" si="365"/>
        <v>0.99810758620689655</v>
      </c>
    </row>
    <row r="336" spans="1:48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366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61">
        <v>0</v>
      </c>
      <c r="X336" s="21"/>
      <c r="Y336" s="21"/>
      <c r="Z336" s="21"/>
      <c r="AA336" s="21"/>
      <c r="AB336" s="21"/>
      <c r="AC336" s="21"/>
      <c r="AD336" s="21"/>
      <c r="AE336" s="21"/>
      <c r="AF336" s="261">
        <f t="shared" si="347"/>
        <v>1372000</v>
      </c>
      <c r="AG336" s="21">
        <f t="shared" si="348"/>
        <v>1372000</v>
      </c>
      <c r="AI336" s="176" t="e">
        <f t="shared" si="367"/>
        <v>#DIV/0!</v>
      </c>
      <c r="AJ336" s="176" t="e">
        <f t="shared" si="353"/>
        <v>#DIV/0!</v>
      </c>
      <c r="AK336" s="176" t="e">
        <f t="shared" si="354"/>
        <v>#DIV/0!</v>
      </c>
      <c r="AL336" s="176">
        <f t="shared" si="355"/>
        <v>1</v>
      </c>
      <c r="AM336" s="176" t="e">
        <f t="shared" si="356"/>
        <v>#DIV/0!</v>
      </c>
      <c r="AN336" s="176" t="e">
        <f t="shared" si="357"/>
        <v>#DIV/0!</v>
      </c>
      <c r="AO336" s="176" t="e">
        <f t="shared" si="358"/>
        <v>#DIV/0!</v>
      </c>
      <c r="AP336" s="176" t="e">
        <f t="shared" si="359"/>
        <v>#DIV/0!</v>
      </c>
      <c r="AQ336" s="176" t="e">
        <f t="shared" si="360"/>
        <v>#DIV/0!</v>
      </c>
      <c r="AR336" s="176" t="e">
        <f t="shared" si="361"/>
        <v>#DIV/0!</v>
      </c>
      <c r="AS336" s="176" t="e">
        <f t="shared" si="362"/>
        <v>#DIV/0!</v>
      </c>
      <c r="AT336" s="176" t="e">
        <f t="shared" si="363"/>
        <v>#DIV/0!</v>
      </c>
      <c r="AU336" s="176">
        <f t="shared" si="364"/>
        <v>0.99656999999999996</v>
      </c>
      <c r="AV336" s="176">
        <f t="shared" si="365"/>
        <v>0.99656999999999996</v>
      </c>
    </row>
    <row r="337" spans="1:48" x14ac:dyDescent="0.25">
      <c r="A337" s="4">
        <v>30104</v>
      </c>
      <c r="B337" s="5" t="s">
        <v>567</v>
      </c>
      <c r="C337" s="6">
        <f t="shared" ref="C337:N338" si="372">+C338</f>
        <v>0</v>
      </c>
      <c r="D337" s="6">
        <f t="shared" si="372"/>
        <v>0</v>
      </c>
      <c r="E337" s="6">
        <f t="shared" si="372"/>
        <v>13333333.333333334</v>
      </c>
      <c r="F337" s="6">
        <f t="shared" si="372"/>
        <v>13333333.333333334</v>
      </c>
      <c r="G337" s="6">
        <f t="shared" si="372"/>
        <v>13333333.333333334</v>
      </c>
      <c r="H337" s="6">
        <f t="shared" si="372"/>
        <v>13333333.333333334</v>
      </c>
      <c r="I337" s="6">
        <f t="shared" si="372"/>
        <v>13333333.333333334</v>
      </c>
      <c r="J337" s="6">
        <f t="shared" si="372"/>
        <v>13333333.333333334</v>
      </c>
      <c r="K337" s="6">
        <f t="shared" si="372"/>
        <v>93333333.333333328</v>
      </c>
      <c r="L337" s="6">
        <f t="shared" si="372"/>
        <v>13333333.333333334</v>
      </c>
      <c r="M337" s="6">
        <f t="shared" si="372"/>
        <v>13333333.333333334</v>
      </c>
      <c r="N337" s="6">
        <f t="shared" si="372"/>
        <v>0</v>
      </c>
      <c r="O337" s="6">
        <f t="shared" si="366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f t="shared" ref="W337:W338" si="373">+W338</f>
        <v>2492986.75</v>
      </c>
      <c r="X337" s="6"/>
      <c r="Y337" s="6"/>
      <c r="Z337" s="6"/>
      <c r="AA337" s="6"/>
      <c r="AB337" s="6"/>
      <c r="AC337" s="6"/>
      <c r="AD337" s="6"/>
      <c r="AE337" s="6"/>
      <c r="AF337" s="6">
        <f t="shared" si="347"/>
        <v>13736942.75</v>
      </c>
      <c r="AG337" s="6">
        <f t="shared" si="348"/>
        <v>13736942.75</v>
      </c>
      <c r="AI337" s="174" t="e">
        <f t="shared" si="367"/>
        <v>#DIV/0!</v>
      </c>
      <c r="AJ337" s="174" t="e">
        <f t="shared" si="353"/>
        <v>#DIV/0!</v>
      </c>
      <c r="AK337" s="174">
        <f t="shared" si="354"/>
        <v>0.75017829999999996</v>
      </c>
      <c r="AL337" s="174">
        <f t="shared" si="355"/>
        <v>0.81302599374999995</v>
      </c>
      <c r="AM337" s="174">
        <f t="shared" si="356"/>
        <v>1</v>
      </c>
      <c r="AN337" s="174">
        <f t="shared" si="357"/>
        <v>1</v>
      </c>
      <c r="AO337" s="174">
        <f t="shared" si="358"/>
        <v>1</v>
      </c>
      <c r="AP337" s="174">
        <f t="shared" si="359"/>
        <v>1</v>
      </c>
      <c r="AQ337" s="174">
        <f t="shared" si="360"/>
        <v>1</v>
      </c>
      <c r="AR337" s="174">
        <f t="shared" si="361"/>
        <v>1</v>
      </c>
      <c r="AS337" s="174">
        <f t="shared" si="362"/>
        <v>1</v>
      </c>
      <c r="AT337" s="174" t="e">
        <f t="shared" si="363"/>
        <v>#DIV/0!</v>
      </c>
      <c r="AU337" s="174">
        <f t="shared" si="364"/>
        <v>0.48486464687500003</v>
      </c>
      <c r="AV337" s="174">
        <f t="shared" si="365"/>
        <v>0.93131528625000004</v>
      </c>
    </row>
    <row r="338" spans="1:48" x14ac:dyDescent="0.25">
      <c r="A338" s="7">
        <v>3010401</v>
      </c>
      <c r="B338" s="8" t="s">
        <v>861</v>
      </c>
      <c r="C338" s="9">
        <f t="shared" si="372"/>
        <v>0</v>
      </c>
      <c r="D338" s="9">
        <f t="shared" si="372"/>
        <v>0</v>
      </c>
      <c r="E338" s="9">
        <f t="shared" si="372"/>
        <v>13333333.333333334</v>
      </c>
      <c r="F338" s="9">
        <f t="shared" si="372"/>
        <v>13333333.333333334</v>
      </c>
      <c r="G338" s="9">
        <f t="shared" si="372"/>
        <v>13333333.333333334</v>
      </c>
      <c r="H338" s="9">
        <f t="shared" si="372"/>
        <v>13333333.333333334</v>
      </c>
      <c r="I338" s="9">
        <f t="shared" si="372"/>
        <v>13333333.333333334</v>
      </c>
      <c r="J338" s="9">
        <f t="shared" si="372"/>
        <v>13333333.333333334</v>
      </c>
      <c r="K338" s="9">
        <f t="shared" si="372"/>
        <v>93333333.333333328</v>
      </c>
      <c r="L338" s="9">
        <f t="shared" si="372"/>
        <v>13333333.333333334</v>
      </c>
      <c r="M338" s="9">
        <f t="shared" si="372"/>
        <v>13333333.333333334</v>
      </c>
      <c r="N338" s="9">
        <f t="shared" si="372"/>
        <v>0</v>
      </c>
      <c r="O338" s="9">
        <f t="shared" si="366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f t="shared" si="373"/>
        <v>2492986.75</v>
      </c>
      <c r="X338" s="9"/>
      <c r="Y338" s="9"/>
      <c r="Z338" s="9"/>
      <c r="AA338" s="9"/>
      <c r="AB338" s="9"/>
      <c r="AC338" s="9"/>
      <c r="AD338" s="9"/>
      <c r="AE338" s="9"/>
      <c r="AF338" s="9">
        <f t="shared" si="347"/>
        <v>12364942.75</v>
      </c>
      <c r="AG338" s="9">
        <f t="shared" si="348"/>
        <v>12364942.75</v>
      </c>
      <c r="AI338" s="175" t="e">
        <f t="shared" si="367"/>
        <v>#DIV/0!</v>
      </c>
      <c r="AJ338" s="175" t="e">
        <f t="shared" si="353"/>
        <v>#DIV/0!</v>
      </c>
      <c r="AK338" s="175">
        <f t="shared" si="354"/>
        <v>0.75017829999999996</v>
      </c>
      <c r="AL338" s="175">
        <f t="shared" si="355"/>
        <v>0.81302599374999995</v>
      </c>
      <c r="AM338" s="175">
        <f t="shared" si="356"/>
        <v>1</v>
      </c>
      <c r="AN338" s="175">
        <f t="shared" si="357"/>
        <v>1</v>
      </c>
      <c r="AO338" s="175">
        <f t="shared" si="358"/>
        <v>1</v>
      </c>
      <c r="AP338" s="175">
        <f t="shared" si="359"/>
        <v>1</v>
      </c>
      <c r="AQ338" s="175">
        <f t="shared" si="360"/>
        <v>1</v>
      </c>
      <c r="AR338" s="175">
        <f t="shared" si="361"/>
        <v>1</v>
      </c>
      <c r="AS338" s="175">
        <f t="shared" si="362"/>
        <v>1</v>
      </c>
      <c r="AT338" s="175" t="e">
        <f t="shared" si="363"/>
        <v>#DIV/0!</v>
      </c>
      <c r="AU338" s="175">
        <f t="shared" si="364"/>
        <v>0.53631464687499997</v>
      </c>
      <c r="AV338" s="175">
        <f t="shared" si="365"/>
        <v>0.93817528625000002</v>
      </c>
    </row>
    <row r="339" spans="1:48" x14ac:dyDescent="0.25">
      <c r="A339" s="7">
        <v>301040101</v>
      </c>
      <c r="B339" s="8" t="s">
        <v>569</v>
      </c>
      <c r="C339" s="9">
        <f t="shared" ref="C339:N339" si="374">+C340+C341</f>
        <v>0</v>
      </c>
      <c r="D339" s="9">
        <f t="shared" si="374"/>
        <v>0</v>
      </c>
      <c r="E339" s="9">
        <f t="shared" si="374"/>
        <v>13333333.333333334</v>
      </c>
      <c r="F339" s="9">
        <f t="shared" si="374"/>
        <v>13333333.333333334</v>
      </c>
      <c r="G339" s="9">
        <f t="shared" si="374"/>
        <v>13333333.333333334</v>
      </c>
      <c r="H339" s="9">
        <f t="shared" si="374"/>
        <v>13333333.333333334</v>
      </c>
      <c r="I339" s="9">
        <f t="shared" si="374"/>
        <v>13333333.333333334</v>
      </c>
      <c r="J339" s="9">
        <f t="shared" si="374"/>
        <v>13333333.333333334</v>
      </c>
      <c r="K339" s="9">
        <f t="shared" si="374"/>
        <v>93333333.333333328</v>
      </c>
      <c r="L339" s="9">
        <f t="shared" si="374"/>
        <v>13333333.333333334</v>
      </c>
      <c r="M339" s="9">
        <f t="shared" si="374"/>
        <v>13333333.333333334</v>
      </c>
      <c r="N339" s="9">
        <f t="shared" si="374"/>
        <v>0</v>
      </c>
      <c r="O339" s="9">
        <f t="shared" si="366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f t="shared" ref="W339" si="375">+W340+W341</f>
        <v>2492986.75</v>
      </c>
      <c r="X339" s="9"/>
      <c r="Y339" s="9"/>
      <c r="Z339" s="9"/>
      <c r="AA339" s="9"/>
      <c r="AB339" s="9"/>
      <c r="AC339" s="9"/>
      <c r="AD339" s="9"/>
      <c r="AE339" s="9"/>
      <c r="AF339" s="9">
        <f t="shared" si="347"/>
        <v>13736942.75</v>
      </c>
      <c r="AG339" s="9">
        <f t="shared" si="348"/>
        <v>13736942.75</v>
      </c>
      <c r="AI339" s="175" t="e">
        <f t="shared" si="367"/>
        <v>#DIV/0!</v>
      </c>
      <c r="AJ339" s="175" t="e">
        <f t="shared" si="353"/>
        <v>#DIV/0!</v>
      </c>
      <c r="AK339" s="175">
        <f t="shared" si="354"/>
        <v>0.75017829999999996</v>
      </c>
      <c r="AL339" s="175">
        <f t="shared" si="355"/>
        <v>0.81302599374999995</v>
      </c>
      <c r="AM339" s="175">
        <f t="shared" si="356"/>
        <v>1</v>
      </c>
      <c r="AN339" s="175">
        <f t="shared" si="357"/>
        <v>1</v>
      </c>
      <c r="AO339" s="175">
        <f t="shared" si="358"/>
        <v>1</v>
      </c>
      <c r="AP339" s="175">
        <f t="shared" si="359"/>
        <v>1</v>
      </c>
      <c r="AQ339" s="175">
        <f t="shared" si="360"/>
        <v>1</v>
      </c>
      <c r="AR339" s="175">
        <f t="shared" si="361"/>
        <v>1</v>
      </c>
      <c r="AS339" s="175">
        <f t="shared" si="362"/>
        <v>1</v>
      </c>
      <c r="AT339" s="175" t="e">
        <f t="shared" si="363"/>
        <v>#DIV/0!</v>
      </c>
      <c r="AU339" s="175">
        <f t="shared" si="364"/>
        <v>0.48486464687500003</v>
      </c>
      <c r="AV339" s="175">
        <f t="shared" si="365"/>
        <v>0.93131528625000004</v>
      </c>
    </row>
    <row r="340" spans="1:48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366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61">
        <v>0</v>
      </c>
      <c r="X340" s="21"/>
      <c r="Y340" s="21"/>
      <c r="Z340" s="21"/>
      <c r="AA340" s="21"/>
      <c r="AB340" s="21"/>
      <c r="AC340" s="21"/>
      <c r="AD340" s="21"/>
      <c r="AE340" s="21"/>
      <c r="AF340" s="261">
        <f t="shared" si="347"/>
        <v>103606228</v>
      </c>
      <c r="AG340" s="21">
        <f t="shared" si="348"/>
        <v>103606228</v>
      </c>
      <c r="AI340" s="176" t="e">
        <f t="shared" si="367"/>
        <v>#DIV/0!</v>
      </c>
      <c r="AJ340" s="176" t="e">
        <f t="shared" si="353"/>
        <v>#DIV/0!</v>
      </c>
      <c r="AK340" s="176" t="e">
        <f t="shared" si="354"/>
        <v>#DIV/0!</v>
      </c>
      <c r="AL340" s="176" t="e">
        <f t="shared" si="355"/>
        <v>#DIV/0!</v>
      </c>
      <c r="AM340" s="176" t="e">
        <f t="shared" si="356"/>
        <v>#DIV/0!</v>
      </c>
      <c r="AN340" s="176" t="e">
        <f t="shared" si="357"/>
        <v>#DIV/0!</v>
      </c>
      <c r="AO340" s="176" t="e">
        <f t="shared" si="358"/>
        <v>#DIV/0!</v>
      </c>
      <c r="AP340" s="176" t="e">
        <f t="shared" si="359"/>
        <v>#DIV/0!</v>
      </c>
      <c r="AQ340" s="176">
        <f t="shared" si="360"/>
        <v>1</v>
      </c>
      <c r="AR340" s="176" t="e">
        <f t="shared" si="361"/>
        <v>#DIV/0!</v>
      </c>
      <c r="AS340" s="176" t="e">
        <f t="shared" si="362"/>
        <v>#DIV/0!</v>
      </c>
      <c r="AT340" s="176" t="e">
        <f t="shared" si="363"/>
        <v>#DIV/0!</v>
      </c>
      <c r="AU340" s="176" t="e">
        <f t="shared" si="364"/>
        <v>#DIV/0!</v>
      </c>
      <c r="AV340" s="176">
        <f t="shared" si="365"/>
        <v>-0.29507784999999997</v>
      </c>
    </row>
    <row r="341" spans="1:48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366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61">
        <v>2492986.75</v>
      </c>
      <c r="X341" s="21"/>
      <c r="Y341" s="21"/>
      <c r="Z341" s="21"/>
      <c r="AA341" s="21"/>
      <c r="AB341" s="21"/>
      <c r="AC341" s="21"/>
      <c r="AD341" s="21"/>
      <c r="AE341" s="21"/>
      <c r="AF341" s="261">
        <f t="shared" si="347"/>
        <v>115971170.75</v>
      </c>
      <c r="AG341" s="21">
        <f t="shared" si="348"/>
        <v>115971170.75</v>
      </c>
      <c r="AI341" s="176" t="e">
        <f t="shared" si="367"/>
        <v>#DIV/0!</v>
      </c>
      <c r="AJ341" s="176" t="e">
        <f t="shared" si="353"/>
        <v>#DIV/0!</v>
      </c>
      <c r="AK341" s="176">
        <f t="shared" si="354"/>
        <v>0.75017829999999996</v>
      </c>
      <c r="AL341" s="176">
        <f t="shared" si="355"/>
        <v>0.81302599374999995</v>
      </c>
      <c r="AM341" s="176">
        <f t="shared" si="356"/>
        <v>1</v>
      </c>
      <c r="AN341" s="176">
        <f t="shared" si="357"/>
        <v>1</v>
      </c>
      <c r="AO341" s="176">
        <f t="shared" si="358"/>
        <v>1</v>
      </c>
      <c r="AP341" s="176">
        <f t="shared" si="359"/>
        <v>1</v>
      </c>
      <c r="AQ341" s="176">
        <f t="shared" si="360"/>
        <v>1</v>
      </c>
      <c r="AR341" s="176">
        <f t="shared" si="361"/>
        <v>1</v>
      </c>
      <c r="AS341" s="176">
        <f t="shared" si="362"/>
        <v>1</v>
      </c>
      <c r="AT341" s="176" t="e">
        <f t="shared" si="363"/>
        <v>#DIV/0!</v>
      </c>
      <c r="AU341" s="176">
        <f t="shared" si="364"/>
        <v>-3.3489189031249995</v>
      </c>
      <c r="AV341" s="176">
        <f t="shared" si="365"/>
        <v>3.3573577083333334E-2</v>
      </c>
    </row>
    <row r="342" spans="1:48" x14ac:dyDescent="0.25">
      <c r="A342" s="4">
        <v>302</v>
      </c>
      <c r="B342" s="5" t="s">
        <v>572</v>
      </c>
      <c r="C342" s="6">
        <f t="shared" ref="C342:N342" si="376">+C343+C416+C423</f>
        <v>903882649.08358717</v>
      </c>
      <c r="D342" s="6">
        <f t="shared" si="376"/>
        <v>335473558.17449647</v>
      </c>
      <c r="E342" s="6">
        <f t="shared" si="376"/>
        <v>340473558.17449647</v>
      </c>
      <c r="F342" s="6">
        <f t="shared" si="376"/>
        <v>450473558.17449647</v>
      </c>
      <c r="G342" s="6">
        <f t="shared" si="376"/>
        <v>187973558.17449644</v>
      </c>
      <c r="H342" s="6">
        <f t="shared" si="376"/>
        <v>162973558.17449644</v>
      </c>
      <c r="I342" s="6">
        <f t="shared" si="376"/>
        <v>162973558.17449644</v>
      </c>
      <c r="J342" s="6">
        <f t="shared" si="376"/>
        <v>212973558.17449644</v>
      </c>
      <c r="K342" s="6">
        <f t="shared" si="376"/>
        <v>1627197137.1733017</v>
      </c>
      <c r="L342" s="6">
        <f t="shared" si="376"/>
        <v>162973558.17449644</v>
      </c>
      <c r="M342" s="6">
        <f t="shared" si="376"/>
        <v>177973558.17449644</v>
      </c>
      <c r="N342" s="6">
        <f t="shared" si="376"/>
        <v>162973558.17449644</v>
      </c>
      <c r="O342" s="6">
        <f t="shared" si="366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f>+W343+W415+W422</f>
        <v>266121652</v>
      </c>
      <c r="X342" s="6"/>
      <c r="Y342" s="6"/>
      <c r="Z342" s="6"/>
      <c r="AA342" s="6"/>
      <c r="AB342" s="6"/>
      <c r="AC342" s="6"/>
      <c r="AD342" s="6"/>
      <c r="AE342" s="6"/>
      <c r="AF342" s="6">
        <f t="shared" si="347"/>
        <v>1065075232</v>
      </c>
      <c r="AG342" s="6">
        <f t="shared" si="348"/>
        <v>1065075232</v>
      </c>
      <c r="AI342" s="174">
        <f t="shared" si="367"/>
        <v>0.63072197332429036</v>
      </c>
      <c r="AJ342" s="174">
        <f t="shared" si="353"/>
        <v>0.74464089370810937</v>
      </c>
      <c r="AK342" s="174">
        <f t="shared" si="354"/>
        <v>-0.11463384421030524</v>
      </c>
      <c r="AL342" s="174">
        <f t="shared" si="355"/>
        <v>0.40924023803209664</v>
      </c>
      <c r="AM342" s="174">
        <f t="shared" si="356"/>
        <v>1</v>
      </c>
      <c r="AN342" s="174">
        <f t="shared" si="357"/>
        <v>1</v>
      </c>
      <c r="AO342" s="174">
        <f t="shared" si="358"/>
        <v>1</v>
      </c>
      <c r="AP342" s="174">
        <f t="shared" si="359"/>
        <v>1</v>
      </c>
      <c r="AQ342" s="174">
        <f t="shared" si="360"/>
        <v>1</v>
      </c>
      <c r="AR342" s="174">
        <f t="shared" si="361"/>
        <v>1</v>
      </c>
      <c r="AS342" s="174">
        <f t="shared" si="362"/>
        <v>1</v>
      </c>
      <c r="AT342" s="174">
        <f t="shared" si="363"/>
        <v>1</v>
      </c>
      <c r="AU342" s="174">
        <f t="shared" si="364"/>
        <v>0.47541078241069584</v>
      </c>
      <c r="AV342" s="174">
        <f t="shared" si="365"/>
        <v>0.78486872306250755</v>
      </c>
    </row>
    <row r="343" spans="1:48" x14ac:dyDescent="0.25">
      <c r="A343" s="4">
        <v>30201</v>
      </c>
      <c r="B343" s="5" t="s">
        <v>573</v>
      </c>
      <c r="C343" s="6">
        <f t="shared" ref="C343:N343" si="377">+C344+C386+C396+C406</f>
        <v>875416666.66692054</v>
      </c>
      <c r="D343" s="6">
        <f t="shared" si="377"/>
        <v>307007575.75782979</v>
      </c>
      <c r="E343" s="6">
        <f t="shared" si="377"/>
        <v>312007575.75782979</v>
      </c>
      <c r="F343" s="6">
        <f t="shared" si="377"/>
        <v>422007575.75782979</v>
      </c>
      <c r="G343" s="6">
        <f t="shared" si="377"/>
        <v>159507575.75782979</v>
      </c>
      <c r="H343" s="6">
        <f t="shared" si="377"/>
        <v>134507575.75782979</v>
      </c>
      <c r="I343" s="6">
        <f t="shared" si="377"/>
        <v>134507575.75782979</v>
      </c>
      <c r="J343" s="6">
        <f t="shared" si="377"/>
        <v>184507575.75782979</v>
      </c>
      <c r="K343" s="6">
        <f t="shared" si="377"/>
        <v>1518632079.756635</v>
      </c>
      <c r="L343" s="6">
        <f t="shared" si="377"/>
        <v>134507575.75782979</v>
      </c>
      <c r="M343" s="6">
        <f t="shared" si="377"/>
        <v>149507575.75782979</v>
      </c>
      <c r="N343" s="6">
        <f t="shared" si="377"/>
        <v>134507575.75782979</v>
      </c>
      <c r="O343" s="6">
        <f t="shared" si="366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f>+W344+W386+W396+W405</f>
        <v>266121652</v>
      </c>
      <c r="X343" s="6"/>
      <c r="Y343" s="6"/>
      <c r="Z343" s="6"/>
      <c r="AA343" s="6"/>
      <c r="AB343" s="6"/>
      <c r="AC343" s="6"/>
      <c r="AD343" s="6"/>
      <c r="AE343" s="6"/>
      <c r="AF343" s="6">
        <f t="shared" si="347"/>
        <v>1064803916</v>
      </c>
      <c r="AG343" s="6">
        <f t="shared" si="348"/>
        <v>1064803916</v>
      </c>
      <c r="AI343" s="174">
        <f t="shared" si="367"/>
        <v>0.61871413498345185</v>
      </c>
      <c r="AJ343" s="174">
        <f t="shared" si="353"/>
        <v>0.72096379775470343</v>
      </c>
      <c r="AK343" s="174">
        <f t="shared" si="354"/>
        <v>-0.21545777880197264</v>
      </c>
      <c r="AL343" s="174">
        <f t="shared" si="355"/>
        <v>0.36939129227216849</v>
      </c>
      <c r="AM343" s="174">
        <f t="shared" si="356"/>
        <v>1</v>
      </c>
      <c r="AN343" s="174">
        <f t="shared" si="357"/>
        <v>1</v>
      </c>
      <c r="AO343" s="174">
        <f t="shared" si="358"/>
        <v>1</v>
      </c>
      <c r="AP343" s="174">
        <f t="shared" si="359"/>
        <v>1</v>
      </c>
      <c r="AQ343" s="174">
        <f t="shared" si="360"/>
        <v>1</v>
      </c>
      <c r="AR343" s="174">
        <f t="shared" si="361"/>
        <v>1</v>
      </c>
      <c r="AS343" s="174">
        <f t="shared" si="362"/>
        <v>1</v>
      </c>
      <c r="AT343" s="174">
        <f t="shared" si="363"/>
        <v>1</v>
      </c>
      <c r="AU343" s="174">
        <f t="shared" si="364"/>
        <v>0.44438424749209193</v>
      </c>
      <c r="AV343" s="174">
        <f t="shared" si="365"/>
        <v>0.76489851072560311</v>
      </c>
    </row>
    <row r="344" spans="1:48" x14ac:dyDescent="0.25">
      <c r="A344" s="7">
        <v>3020101</v>
      </c>
      <c r="B344" s="8" t="s">
        <v>864</v>
      </c>
      <c r="C344" s="9">
        <f t="shared" ref="C344:N344" si="378">+C345</f>
        <v>773916666.66692054</v>
      </c>
      <c r="D344" s="9">
        <f t="shared" si="378"/>
        <v>203007575.75782976</v>
      </c>
      <c r="E344" s="9">
        <f t="shared" si="378"/>
        <v>208007575.75782976</v>
      </c>
      <c r="F344" s="9">
        <f t="shared" si="378"/>
        <v>318007575.75782979</v>
      </c>
      <c r="G344" s="9">
        <f t="shared" si="378"/>
        <v>150507575.75782979</v>
      </c>
      <c r="H344" s="9">
        <f t="shared" si="378"/>
        <v>134507575.75782979</v>
      </c>
      <c r="I344" s="9">
        <f t="shared" si="378"/>
        <v>134507575.75782979</v>
      </c>
      <c r="J344" s="9">
        <f t="shared" si="378"/>
        <v>134507575.75782979</v>
      </c>
      <c r="K344" s="9">
        <f t="shared" si="378"/>
        <v>1293632079.756635</v>
      </c>
      <c r="L344" s="9">
        <f t="shared" si="378"/>
        <v>134507575.75782979</v>
      </c>
      <c r="M344" s="9">
        <f t="shared" si="378"/>
        <v>149507575.75782979</v>
      </c>
      <c r="N344" s="9">
        <f t="shared" si="378"/>
        <v>134507575.75782979</v>
      </c>
      <c r="O344" s="9">
        <f t="shared" si="366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f t="shared" ref="W344" si="379">+W345</f>
        <v>145662841</v>
      </c>
      <c r="X344" s="9"/>
      <c r="Y344" s="9"/>
      <c r="Z344" s="9"/>
      <c r="AA344" s="9"/>
      <c r="AB344" s="9"/>
      <c r="AC344" s="9"/>
      <c r="AD344" s="9"/>
      <c r="AE344" s="9"/>
      <c r="AF344" s="9">
        <f t="shared" si="347"/>
        <v>762708877</v>
      </c>
      <c r="AG344" s="9">
        <f t="shared" si="348"/>
        <v>762708877</v>
      </c>
      <c r="AI344" s="175">
        <f t="shared" si="367"/>
        <v>0.61134833509219166</v>
      </c>
      <c r="AJ344" s="175">
        <f t="shared" si="353"/>
        <v>1</v>
      </c>
      <c r="AK344" s="175">
        <f t="shared" si="354"/>
        <v>-0.52043517572746556</v>
      </c>
      <c r="AL344" s="175">
        <f t="shared" si="355"/>
        <v>0.54195166372097481</v>
      </c>
      <c r="AM344" s="175">
        <f t="shared" si="356"/>
        <v>1</v>
      </c>
      <c r="AN344" s="175">
        <f t="shared" si="357"/>
        <v>1</v>
      </c>
      <c r="AO344" s="175">
        <f t="shared" si="358"/>
        <v>1</v>
      </c>
      <c r="AP344" s="175">
        <f t="shared" si="359"/>
        <v>1</v>
      </c>
      <c r="AQ344" s="175">
        <f t="shared" si="360"/>
        <v>1</v>
      </c>
      <c r="AR344" s="175">
        <f t="shared" si="361"/>
        <v>1</v>
      </c>
      <c r="AS344" s="175">
        <f t="shared" si="362"/>
        <v>1</v>
      </c>
      <c r="AT344" s="175">
        <f t="shared" si="363"/>
        <v>1</v>
      </c>
      <c r="AU344" s="175">
        <f t="shared" si="364"/>
        <v>0.49252186743184084</v>
      </c>
      <c r="AV344" s="175">
        <f t="shared" si="365"/>
        <v>0.79764296027096027</v>
      </c>
    </row>
    <row r="345" spans="1:48" x14ac:dyDescent="0.25">
      <c r="A345" s="7">
        <v>302010101</v>
      </c>
      <c r="B345" s="8" t="s">
        <v>575</v>
      </c>
      <c r="C345" s="9">
        <f t="shared" ref="C345:N345" si="380">+C346+C350+C354+C358+C361+C363+C367+C370+C373+C376+C378+C382+C385</f>
        <v>773916666.66692054</v>
      </c>
      <c r="D345" s="9">
        <f t="shared" si="380"/>
        <v>203007575.75782976</v>
      </c>
      <c r="E345" s="9">
        <f t="shared" si="380"/>
        <v>208007575.75782976</v>
      </c>
      <c r="F345" s="9">
        <f t="shared" si="380"/>
        <v>318007575.75782979</v>
      </c>
      <c r="G345" s="9">
        <f t="shared" si="380"/>
        <v>150507575.75782979</v>
      </c>
      <c r="H345" s="9">
        <f t="shared" si="380"/>
        <v>134507575.75782979</v>
      </c>
      <c r="I345" s="9">
        <f t="shared" si="380"/>
        <v>134507575.75782979</v>
      </c>
      <c r="J345" s="9">
        <f t="shared" si="380"/>
        <v>134507575.75782979</v>
      </c>
      <c r="K345" s="9">
        <f t="shared" si="380"/>
        <v>1293632079.756635</v>
      </c>
      <c r="L345" s="9">
        <f t="shared" si="380"/>
        <v>134507575.75782979</v>
      </c>
      <c r="M345" s="9">
        <f t="shared" si="380"/>
        <v>149507575.75782979</v>
      </c>
      <c r="N345" s="9">
        <f t="shared" si="380"/>
        <v>134507575.75782979</v>
      </c>
      <c r="O345" s="9">
        <f t="shared" si="366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f t="shared" ref="W345" si="381">+W346+W350+W354+W358+W361+W363+W367+W370+W373+W376+W378+W382+W385</f>
        <v>145662841</v>
      </c>
      <c r="X345" s="9"/>
      <c r="Y345" s="9"/>
      <c r="Z345" s="9"/>
      <c r="AA345" s="9"/>
      <c r="AB345" s="9"/>
      <c r="AC345" s="9"/>
      <c r="AD345" s="9"/>
      <c r="AE345" s="9"/>
      <c r="AF345" s="9">
        <f t="shared" si="347"/>
        <v>762708877</v>
      </c>
      <c r="AG345" s="9">
        <f t="shared" si="348"/>
        <v>762708877</v>
      </c>
      <c r="AI345" s="175">
        <f t="shared" si="367"/>
        <v>0.61134833509219166</v>
      </c>
      <c r="AJ345" s="175">
        <f t="shared" si="353"/>
        <v>1</v>
      </c>
      <c r="AK345" s="175">
        <f t="shared" si="354"/>
        <v>-0.52043517572746556</v>
      </c>
      <c r="AL345" s="175">
        <f t="shared" si="355"/>
        <v>0.54195166372097481</v>
      </c>
      <c r="AM345" s="175">
        <f t="shared" si="356"/>
        <v>1</v>
      </c>
      <c r="AN345" s="175">
        <f t="shared" si="357"/>
        <v>1</v>
      </c>
      <c r="AO345" s="175">
        <f t="shared" si="358"/>
        <v>1</v>
      </c>
      <c r="AP345" s="175">
        <f t="shared" si="359"/>
        <v>1</v>
      </c>
      <c r="AQ345" s="175">
        <f t="shared" si="360"/>
        <v>1</v>
      </c>
      <c r="AR345" s="175">
        <f t="shared" si="361"/>
        <v>1</v>
      </c>
      <c r="AS345" s="175">
        <f t="shared" si="362"/>
        <v>1</v>
      </c>
      <c r="AT345" s="175">
        <f t="shared" si="363"/>
        <v>1</v>
      </c>
      <c r="AU345" s="175">
        <f t="shared" si="364"/>
        <v>0.49252186743184084</v>
      </c>
      <c r="AV345" s="175">
        <f t="shared" si="365"/>
        <v>0.79764296027096027</v>
      </c>
    </row>
    <row r="346" spans="1:48" x14ac:dyDescent="0.25">
      <c r="A346" s="7">
        <v>30201010101</v>
      </c>
      <c r="B346" s="8" t="s">
        <v>576</v>
      </c>
      <c r="C346" s="9">
        <f t="shared" ref="C346:N346" si="382">+C347+C348+C349</f>
        <v>10833333.333333332</v>
      </c>
      <c r="D346" s="9">
        <f t="shared" si="382"/>
        <v>10833333.333333332</v>
      </c>
      <c r="E346" s="9">
        <f t="shared" si="382"/>
        <v>10833333.333333332</v>
      </c>
      <c r="F346" s="9">
        <f t="shared" si="382"/>
        <v>10833333.333333332</v>
      </c>
      <c r="G346" s="9">
        <f t="shared" si="382"/>
        <v>10833333.333333332</v>
      </c>
      <c r="H346" s="9">
        <f t="shared" si="382"/>
        <v>10833333.333333332</v>
      </c>
      <c r="I346" s="9">
        <f t="shared" si="382"/>
        <v>10833333.333333332</v>
      </c>
      <c r="J346" s="9">
        <f t="shared" si="382"/>
        <v>10833333.333333332</v>
      </c>
      <c r="K346" s="9">
        <f t="shared" si="382"/>
        <v>50833333.333333336</v>
      </c>
      <c r="L346" s="9">
        <f t="shared" si="382"/>
        <v>10833333.333333332</v>
      </c>
      <c r="M346" s="9">
        <f t="shared" si="382"/>
        <v>10833333.333333332</v>
      </c>
      <c r="N346" s="9">
        <f t="shared" si="382"/>
        <v>10833333.333333332</v>
      </c>
      <c r="O346" s="9">
        <f t="shared" si="366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f t="shared" ref="W346" si="383">+W347+W348+W349</f>
        <v>16816755</v>
      </c>
      <c r="X346" s="9"/>
      <c r="Y346" s="9"/>
      <c r="Z346" s="9"/>
      <c r="AA346" s="9"/>
      <c r="AB346" s="9"/>
      <c r="AC346" s="9"/>
      <c r="AD346" s="9"/>
      <c r="AE346" s="9"/>
      <c r="AF346" s="9">
        <f t="shared" si="347"/>
        <v>38516755</v>
      </c>
      <c r="AG346" s="9">
        <f t="shared" si="348"/>
        <v>38516755</v>
      </c>
      <c r="AI346" s="175">
        <f t="shared" si="367"/>
        <v>-0.68000000000000016</v>
      </c>
      <c r="AJ346" s="175">
        <f t="shared" si="353"/>
        <v>1</v>
      </c>
      <c r="AK346" s="175">
        <f t="shared" si="354"/>
        <v>0.67692307692307685</v>
      </c>
      <c r="AL346" s="175">
        <f t="shared" si="355"/>
        <v>-0.55231584615384632</v>
      </c>
      <c r="AM346" s="175">
        <f t="shared" si="356"/>
        <v>1</v>
      </c>
      <c r="AN346" s="175">
        <f t="shared" si="357"/>
        <v>1</v>
      </c>
      <c r="AO346" s="175">
        <f t="shared" si="358"/>
        <v>1</v>
      </c>
      <c r="AP346" s="175">
        <f t="shared" si="359"/>
        <v>1</v>
      </c>
      <c r="AQ346" s="175">
        <f t="shared" si="360"/>
        <v>1</v>
      </c>
      <c r="AR346" s="175">
        <f t="shared" si="361"/>
        <v>1</v>
      </c>
      <c r="AS346" s="175">
        <f t="shared" si="362"/>
        <v>1</v>
      </c>
      <c r="AT346" s="175">
        <f t="shared" si="363"/>
        <v>1</v>
      </c>
      <c r="AU346" s="175">
        <f t="shared" si="364"/>
        <v>0.11115180769230759</v>
      </c>
      <c r="AV346" s="175">
        <f t="shared" si="365"/>
        <v>0.77343085294117642</v>
      </c>
    </row>
    <row r="347" spans="1:48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366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61">
        <v>0</v>
      </c>
      <c r="X347" s="21"/>
      <c r="Y347" s="21"/>
      <c r="Z347" s="21"/>
      <c r="AA347" s="21"/>
      <c r="AB347" s="21"/>
      <c r="AC347" s="21"/>
      <c r="AD347" s="21"/>
      <c r="AE347" s="21"/>
      <c r="AF347" s="261">
        <f t="shared" si="347"/>
        <v>0</v>
      </c>
      <c r="AG347" s="21">
        <f t="shared" si="348"/>
        <v>0</v>
      </c>
      <c r="AI347" s="176" t="e">
        <f t="shared" si="367"/>
        <v>#DIV/0!</v>
      </c>
      <c r="AJ347" s="176" t="e">
        <f t="shared" si="353"/>
        <v>#DIV/0!</v>
      </c>
      <c r="AK347" s="176" t="e">
        <f t="shared" si="354"/>
        <v>#DIV/0!</v>
      </c>
      <c r="AL347" s="176" t="e">
        <f t="shared" si="355"/>
        <v>#DIV/0!</v>
      </c>
      <c r="AM347" s="176" t="e">
        <f t="shared" si="356"/>
        <v>#DIV/0!</v>
      </c>
      <c r="AN347" s="176" t="e">
        <f t="shared" si="357"/>
        <v>#DIV/0!</v>
      </c>
      <c r="AO347" s="176" t="e">
        <f t="shared" si="358"/>
        <v>#DIV/0!</v>
      </c>
      <c r="AP347" s="176" t="e">
        <f t="shared" si="359"/>
        <v>#DIV/0!</v>
      </c>
      <c r="AQ347" s="176">
        <f t="shared" si="360"/>
        <v>1</v>
      </c>
      <c r="AR347" s="176" t="e">
        <f t="shared" si="361"/>
        <v>#DIV/0!</v>
      </c>
      <c r="AS347" s="176" t="e">
        <f t="shared" si="362"/>
        <v>#DIV/0!</v>
      </c>
      <c r="AT347" s="176" t="e">
        <f t="shared" si="363"/>
        <v>#DIV/0!</v>
      </c>
      <c r="AU347" s="176" t="e">
        <f t="shared" si="364"/>
        <v>#DIV/0!</v>
      </c>
      <c r="AV347" s="176">
        <f t="shared" si="365"/>
        <v>1</v>
      </c>
    </row>
    <row r="348" spans="1:48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366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61">
        <v>0</v>
      </c>
      <c r="X348" s="21"/>
      <c r="Y348" s="21"/>
      <c r="Z348" s="21"/>
      <c r="AA348" s="21"/>
      <c r="AB348" s="21"/>
      <c r="AC348" s="21"/>
      <c r="AD348" s="21"/>
      <c r="AE348" s="21"/>
      <c r="AF348" s="261">
        <f t="shared" si="347"/>
        <v>0</v>
      </c>
      <c r="AG348" s="21">
        <f t="shared" si="348"/>
        <v>0</v>
      </c>
      <c r="AI348" s="176">
        <f t="shared" si="367"/>
        <v>1</v>
      </c>
      <c r="AJ348" s="176">
        <f t="shared" si="353"/>
        <v>1</v>
      </c>
      <c r="AK348" s="176">
        <f t="shared" si="354"/>
        <v>1</v>
      </c>
      <c r="AL348" s="176">
        <f t="shared" si="355"/>
        <v>1</v>
      </c>
      <c r="AM348" s="176">
        <f t="shared" si="356"/>
        <v>1</v>
      </c>
      <c r="AN348" s="176">
        <f t="shared" si="357"/>
        <v>1</v>
      </c>
      <c r="AO348" s="176">
        <f t="shared" si="358"/>
        <v>1</v>
      </c>
      <c r="AP348" s="176">
        <f t="shared" si="359"/>
        <v>1</v>
      </c>
      <c r="AQ348" s="176">
        <f t="shared" si="360"/>
        <v>1</v>
      </c>
      <c r="AR348" s="176">
        <f t="shared" si="361"/>
        <v>1</v>
      </c>
      <c r="AS348" s="176">
        <f t="shared" si="362"/>
        <v>1</v>
      </c>
      <c r="AT348" s="176">
        <f t="shared" si="363"/>
        <v>1</v>
      </c>
      <c r="AU348" s="176">
        <f t="shared" si="364"/>
        <v>1</v>
      </c>
      <c r="AV348" s="176">
        <f t="shared" si="365"/>
        <v>1</v>
      </c>
    </row>
    <row r="349" spans="1:48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366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61">
        <v>16816755</v>
      </c>
      <c r="X349" s="21"/>
      <c r="Y349" s="21"/>
      <c r="Z349" s="21"/>
      <c r="AA349" s="21"/>
      <c r="AB349" s="21"/>
      <c r="AC349" s="21"/>
      <c r="AD349" s="21"/>
      <c r="AE349" s="21"/>
      <c r="AF349" s="261">
        <f t="shared" si="347"/>
        <v>38516755</v>
      </c>
      <c r="AG349" s="21">
        <f t="shared" si="348"/>
        <v>38516755</v>
      </c>
      <c r="AI349" s="176">
        <f t="shared" si="367"/>
        <v>-2.12</v>
      </c>
      <c r="AJ349" s="176">
        <f t="shared" si="353"/>
        <v>1</v>
      </c>
      <c r="AK349" s="176">
        <f t="shared" si="354"/>
        <v>0.39999999999999997</v>
      </c>
      <c r="AL349" s="176">
        <f t="shared" si="355"/>
        <v>-1.8828722857142861</v>
      </c>
      <c r="AM349" s="176">
        <f t="shared" si="356"/>
        <v>1</v>
      </c>
      <c r="AN349" s="176">
        <f t="shared" si="357"/>
        <v>1</v>
      </c>
      <c r="AO349" s="176">
        <f t="shared" si="358"/>
        <v>1</v>
      </c>
      <c r="AP349" s="176">
        <f t="shared" si="359"/>
        <v>1</v>
      </c>
      <c r="AQ349" s="176">
        <f t="shared" si="360"/>
        <v>1</v>
      </c>
      <c r="AR349" s="176">
        <f t="shared" si="361"/>
        <v>1</v>
      </c>
      <c r="AS349" s="176">
        <f t="shared" si="362"/>
        <v>1</v>
      </c>
      <c r="AT349" s="176">
        <f t="shared" si="363"/>
        <v>1</v>
      </c>
      <c r="AU349" s="176">
        <f t="shared" si="364"/>
        <v>-0.65071807142857152</v>
      </c>
      <c r="AV349" s="176">
        <f t="shared" si="365"/>
        <v>0.44976064285714284</v>
      </c>
    </row>
    <row r="350" spans="1:48" x14ac:dyDescent="0.25">
      <c r="A350" s="7">
        <v>30201010102</v>
      </c>
      <c r="B350" s="8" t="s">
        <v>580</v>
      </c>
      <c r="C350" s="9">
        <f t="shared" ref="C350:N350" si="384">+C351+C352+C353</f>
        <v>400000000</v>
      </c>
      <c r="D350" s="9">
        <f t="shared" si="384"/>
        <v>0</v>
      </c>
      <c r="E350" s="9">
        <f t="shared" si="384"/>
        <v>0</v>
      </c>
      <c r="F350" s="9">
        <f t="shared" si="384"/>
        <v>0</v>
      </c>
      <c r="G350" s="9">
        <f t="shared" si="384"/>
        <v>0</v>
      </c>
      <c r="H350" s="9">
        <f t="shared" si="384"/>
        <v>0</v>
      </c>
      <c r="I350" s="9">
        <f t="shared" si="384"/>
        <v>0</v>
      </c>
      <c r="J350" s="9">
        <f t="shared" si="384"/>
        <v>0</v>
      </c>
      <c r="K350" s="9">
        <f t="shared" si="384"/>
        <v>15000000</v>
      </c>
      <c r="L350" s="9">
        <f t="shared" si="384"/>
        <v>0</v>
      </c>
      <c r="M350" s="9">
        <f t="shared" si="384"/>
        <v>0</v>
      </c>
      <c r="N350" s="9">
        <f t="shared" si="384"/>
        <v>0</v>
      </c>
      <c r="O350" s="9">
        <f t="shared" si="366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f t="shared" ref="W350" si="385">+W351+W352+W353</f>
        <v>0</v>
      </c>
      <c r="X350" s="9"/>
      <c r="Y350" s="9"/>
      <c r="Z350" s="9"/>
      <c r="AA350" s="9"/>
      <c r="AB350" s="9"/>
      <c r="AC350" s="9"/>
      <c r="AD350" s="9"/>
      <c r="AE350" s="9"/>
      <c r="AF350" s="9">
        <f t="shared" si="347"/>
        <v>0</v>
      </c>
      <c r="AG350" s="9">
        <f t="shared" si="348"/>
        <v>0</v>
      </c>
      <c r="AI350" s="175">
        <f t="shared" si="367"/>
        <v>1</v>
      </c>
      <c r="AJ350" s="175" t="e">
        <f t="shared" si="353"/>
        <v>#DIV/0!</v>
      </c>
      <c r="AK350" s="175" t="e">
        <f t="shared" si="354"/>
        <v>#DIV/0!</v>
      </c>
      <c r="AL350" s="175" t="e">
        <f t="shared" si="355"/>
        <v>#DIV/0!</v>
      </c>
      <c r="AM350" s="175" t="e">
        <f t="shared" si="356"/>
        <v>#DIV/0!</v>
      </c>
      <c r="AN350" s="175" t="e">
        <f t="shared" si="357"/>
        <v>#DIV/0!</v>
      </c>
      <c r="AO350" s="175" t="e">
        <f t="shared" si="358"/>
        <v>#DIV/0!</v>
      </c>
      <c r="AP350" s="175" t="e">
        <f t="shared" si="359"/>
        <v>#DIV/0!</v>
      </c>
      <c r="AQ350" s="175">
        <f t="shared" si="360"/>
        <v>1</v>
      </c>
      <c r="AR350" s="175" t="e">
        <f t="shared" si="361"/>
        <v>#DIV/0!</v>
      </c>
      <c r="AS350" s="175" t="e">
        <f t="shared" si="362"/>
        <v>#DIV/0!</v>
      </c>
      <c r="AT350" s="175" t="e">
        <f t="shared" si="363"/>
        <v>#DIV/0!</v>
      </c>
      <c r="AU350" s="175">
        <f t="shared" si="364"/>
        <v>1</v>
      </c>
      <c r="AV350" s="175">
        <f t="shared" si="365"/>
        <v>1</v>
      </c>
    </row>
    <row r="351" spans="1:48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366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61">
        <v>0</v>
      </c>
      <c r="X351" s="21"/>
      <c r="Y351" s="21"/>
      <c r="Z351" s="21"/>
      <c r="AA351" s="21"/>
      <c r="AB351" s="21"/>
      <c r="AC351" s="21"/>
      <c r="AD351" s="21"/>
      <c r="AE351" s="21"/>
      <c r="AF351" s="261">
        <f t="shared" si="347"/>
        <v>0</v>
      </c>
      <c r="AG351" s="21">
        <f t="shared" si="348"/>
        <v>0</v>
      </c>
      <c r="AI351" s="176" t="e">
        <f t="shared" si="367"/>
        <v>#DIV/0!</v>
      </c>
      <c r="AJ351" s="176" t="e">
        <f t="shared" si="353"/>
        <v>#DIV/0!</v>
      </c>
      <c r="AK351" s="176" t="e">
        <f t="shared" si="354"/>
        <v>#DIV/0!</v>
      </c>
      <c r="AL351" s="176" t="e">
        <f t="shared" si="355"/>
        <v>#DIV/0!</v>
      </c>
      <c r="AM351" s="176" t="e">
        <f t="shared" si="356"/>
        <v>#DIV/0!</v>
      </c>
      <c r="AN351" s="176" t="e">
        <f t="shared" si="357"/>
        <v>#DIV/0!</v>
      </c>
      <c r="AO351" s="176" t="e">
        <f t="shared" si="358"/>
        <v>#DIV/0!</v>
      </c>
      <c r="AP351" s="176" t="e">
        <f t="shared" si="359"/>
        <v>#DIV/0!</v>
      </c>
      <c r="AQ351" s="176">
        <f t="shared" si="360"/>
        <v>1</v>
      </c>
      <c r="AR351" s="176" t="e">
        <f t="shared" si="361"/>
        <v>#DIV/0!</v>
      </c>
      <c r="AS351" s="176" t="e">
        <f t="shared" si="362"/>
        <v>#DIV/0!</v>
      </c>
      <c r="AT351" s="176" t="e">
        <f t="shared" si="363"/>
        <v>#DIV/0!</v>
      </c>
      <c r="AU351" s="176" t="e">
        <f t="shared" si="364"/>
        <v>#DIV/0!</v>
      </c>
      <c r="AV351" s="176">
        <f t="shared" si="365"/>
        <v>1</v>
      </c>
    </row>
    <row r="352" spans="1:48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366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61">
        <v>0</v>
      </c>
      <c r="X352" s="21"/>
      <c r="Y352" s="21"/>
      <c r="Z352" s="21"/>
      <c r="AA352" s="21"/>
      <c r="AB352" s="21"/>
      <c r="AC352" s="21"/>
      <c r="AD352" s="21"/>
      <c r="AE352" s="21"/>
      <c r="AF352" s="261">
        <f t="shared" si="347"/>
        <v>24800000</v>
      </c>
      <c r="AG352" s="21">
        <f t="shared" si="348"/>
        <v>24800000</v>
      </c>
      <c r="AI352" s="176">
        <f t="shared" si="367"/>
        <v>1</v>
      </c>
      <c r="AJ352" s="176" t="e">
        <f t="shared" si="353"/>
        <v>#DIV/0!</v>
      </c>
      <c r="AK352" s="176" t="e">
        <f t="shared" si="354"/>
        <v>#DIV/0!</v>
      </c>
      <c r="AL352" s="176" t="e">
        <f t="shared" si="355"/>
        <v>#DIV/0!</v>
      </c>
      <c r="AM352" s="176" t="e">
        <f t="shared" si="356"/>
        <v>#DIV/0!</v>
      </c>
      <c r="AN352" s="176" t="e">
        <f t="shared" si="357"/>
        <v>#DIV/0!</v>
      </c>
      <c r="AO352" s="176" t="e">
        <f t="shared" si="358"/>
        <v>#DIV/0!</v>
      </c>
      <c r="AP352" s="176" t="e">
        <f t="shared" si="359"/>
        <v>#DIV/0!</v>
      </c>
      <c r="AQ352" s="176" t="e">
        <f t="shared" si="360"/>
        <v>#DIV/0!</v>
      </c>
      <c r="AR352" s="176" t="e">
        <f t="shared" si="361"/>
        <v>#DIV/0!</v>
      </c>
      <c r="AS352" s="176" t="e">
        <f t="shared" si="362"/>
        <v>#DIV/0!</v>
      </c>
      <c r="AT352" s="176" t="e">
        <f t="shared" si="363"/>
        <v>#DIV/0!</v>
      </c>
      <c r="AU352" s="176">
        <f t="shared" si="364"/>
        <v>0.83466666666666667</v>
      </c>
      <c r="AV352" s="176">
        <f t="shared" si="365"/>
        <v>0.83466666666666667</v>
      </c>
    </row>
    <row r="353" spans="1:48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366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61">
        <v>0</v>
      </c>
      <c r="X353" s="21"/>
      <c r="Y353" s="21"/>
      <c r="Z353" s="21"/>
      <c r="AA353" s="21"/>
      <c r="AB353" s="21"/>
      <c r="AC353" s="21"/>
      <c r="AD353" s="21"/>
      <c r="AE353" s="21"/>
      <c r="AF353" s="261">
        <f t="shared" si="347"/>
        <v>0</v>
      </c>
      <c r="AG353" s="21">
        <f t="shared" si="348"/>
        <v>0</v>
      </c>
      <c r="AI353" s="176">
        <f t="shared" si="367"/>
        <v>1</v>
      </c>
      <c r="AJ353" s="176" t="e">
        <f t="shared" si="353"/>
        <v>#DIV/0!</v>
      </c>
      <c r="AK353" s="176" t="e">
        <f t="shared" si="354"/>
        <v>#DIV/0!</v>
      </c>
      <c r="AL353" s="176" t="e">
        <f t="shared" si="355"/>
        <v>#DIV/0!</v>
      </c>
      <c r="AM353" s="176" t="e">
        <f t="shared" si="356"/>
        <v>#DIV/0!</v>
      </c>
      <c r="AN353" s="176" t="e">
        <f t="shared" si="357"/>
        <v>#DIV/0!</v>
      </c>
      <c r="AO353" s="176" t="e">
        <f t="shared" si="358"/>
        <v>#DIV/0!</v>
      </c>
      <c r="AP353" s="176" t="e">
        <f t="shared" si="359"/>
        <v>#DIV/0!</v>
      </c>
      <c r="AQ353" s="176" t="e">
        <f t="shared" si="360"/>
        <v>#DIV/0!</v>
      </c>
      <c r="AR353" s="176" t="e">
        <f t="shared" si="361"/>
        <v>#DIV/0!</v>
      </c>
      <c r="AS353" s="176" t="e">
        <f t="shared" si="362"/>
        <v>#DIV/0!</v>
      </c>
      <c r="AT353" s="176" t="e">
        <f t="shared" si="363"/>
        <v>#DIV/0!</v>
      </c>
      <c r="AU353" s="176">
        <f t="shared" si="364"/>
        <v>1</v>
      </c>
      <c r="AV353" s="176">
        <f t="shared" si="365"/>
        <v>1</v>
      </c>
    </row>
    <row r="354" spans="1:48" x14ac:dyDescent="0.25">
      <c r="A354" s="7">
        <v>30201010103</v>
      </c>
      <c r="B354" s="8" t="s">
        <v>584</v>
      </c>
      <c r="C354" s="9">
        <f t="shared" ref="C354:N354" si="386">+C355+C356+C357</f>
        <v>69583333.333587363</v>
      </c>
      <c r="D354" s="9">
        <f t="shared" si="386"/>
        <v>69583333.333587363</v>
      </c>
      <c r="E354" s="9">
        <f t="shared" si="386"/>
        <v>69583333.333587363</v>
      </c>
      <c r="F354" s="9">
        <f t="shared" si="386"/>
        <v>69583333.333587363</v>
      </c>
      <c r="G354" s="9">
        <f t="shared" si="386"/>
        <v>69583333.333587363</v>
      </c>
      <c r="H354" s="9">
        <f t="shared" si="386"/>
        <v>69583333.333587363</v>
      </c>
      <c r="I354" s="9">
        <f t="shared" si="386"/>
        <v>69583333.333587363</v>
      </c>
      <c r="J354" s="9">
        <f t="shared" si="386"/>
        <v>69583333.333587363</v>
      </c>
      <c r="K354" s="9">
        <f t="shared" si="386"/>
        <v>678707837.33239245</v>
      </c>
      <c r="L354" s="9">
        <f t="shared" si="386"/>
        <v>69583333.333587363</v>
      </c>
      <c r="M354" s="9">
        <f t="shared" si="386"/>
        <v>69583333.333587363</v>
      </c>
      <c r="N354" s="9">
        <f t="shared" si="386"/>
        <v>69583333.333587363</v>
      </c>
      <c r="O354" s="9">
        <f t="shared" si="366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f t="shared" ref="W354" si="387">+W355+W356+W357</f>
        <v>54409900</v>
      </c>
      <c r="X354" s="9"/>
      <c r="Y354" s="9"/>
      <c r="Z354" s="9"/>
      <c r="AA354" s="9"/>
      <c r="AB354" s="9"/>
      <c r="AC354" s="9"/>
      <c r="AD354" s="9"/>
      <c r="AE354" s="9"/>
      <c r="AF354" s="9">
        <f t="shared" si="347"/>
        <v>183792359</v>
      </c>
      <c r="AG354" s="9">
        <f t="shared" si="348"/>
        <v>183792359</v>
      </c>
      <c r="AI354" s="175">
        <f t="shared" si="367"/>
        <v>-7.4891017960147716E-2</v>
      </c>
      <c r="AJ354" s="175">
        <f t="shared" si="353"/>
        <v>1</v>
      </c>
      <c r="AK354" s="175">
        <f t="shared" si="354"/>
        <v>0.21550238563160651</v>
      </c>
      <c r="AL354" s="175">
        <f t="shared" si="355"/>
        <v>0.21806131736812412</v>
      </c>
      <c r="AM354" s="175">
        <f t="shared" si="356"/>
        <v>1</v>
      </c>
      <c r="AN354" s="175">
        <f t="shared" si="357"/>
        <v>1</v>
      </c>
      <c r="AO354" s="175">
        <f t="shared" si="358"/>
        <v>1</v>
      </c>
      <c r="AP354" s="175">
        <f t="shared" si="359"/>
        <v>1</v>
      </c>
      <c r="AQ354" s="175">
        <f t="shared" si="360"/>
        <v>1</v>
      </c>
      <c r="AR354" s="175">
        <f t="shared" si="361"/>
        <v>1</v>
      </c>
      <c r="AS354" s="175">
        <f t="shared" si="362"/>
        <v>1</v>
      </c>
      <c r="AT354" s="175">
        <f t="shared" si="363"/>
        <v>1</v>
      </c>
      <c r="AU354" s="175">
        <f t="shared" si="364"/>
        <v>0.33966817125989573</v>
      </c>
      <c r="AV354" s="175">
        <f t="shared" si="365"/>
        <v>0.87273094633413673</v>
      </c>
    </row>
    <row r="355" spans="1:48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366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61">
        <v>0</v>
      </c>
      <c r="X355" s="21"/>
      <c r="Y355" s="21"/>
      <c r="Z355" s="21"/>
      <c r="AA355" s="21"/>
      <c r="AB355" s="21"/>
      <c r="AC355" s="21"/>
      <c r="AD355" s="21"/>
      <c r="AE355" s="21"/>
      <c r="AF355" s="261">
        <f t="shared" si="347"/>
        <v>24800000</v>
      </c>
      <c r="AG355" s="21">
        <f t="shared" si="348"/>
        <v>24800000</v>
      </c>
      <c r="AI355" s="176" t="e">
        <f t="shared" si="367"/>
        <v>#DIV/0!</v>
      </c>
      <c r="AJ355" s="176" t="e">
        <f t="shared" si="353"/>
        <v>#DIV/0!</v>
      </c>
      <c r="AK355" s="176" t="e">
        <f t="shared" si="354"/>
        <v>#DIV/0!</v>
      </c>
      <c r="AL355" s="176" t="e">
        <f t="shared" si="355"/>
        <v>#DIV/0!</v>
      </c>
      <c r="AM355" s="176" t="e">
        <f t="shared" si="356"/>
        <v>#DIV/0!</v>
      </c>
      <c r="AN355" s="176" t="e">
        <f t="shared" si="357"/>
        <v>#DIV/0!</v>
      </c>
      <c r="AO355" s="176" t="e">
        <f t="shared" si="358"/>
        <v>#DIV/0!</v>
      </c>
      <c r="AP355" s="176" t="e">
        <f t="shared" si="359"/>
        <v>#DIV/0!</v>
      </c>
      <c r="AQ355" s="176">
        <f t="shared" si="360"/>
        <v>1</v>
      </c>
      <c r="AR355" s="176" t="e">
        <f t="shared" si="361"/>
        <v>#DIV/0!</v>
      </c>
      <c r="AS355" s="176" t="e">
        <f t="shared" si="362"/>
        <v>#DIV/0!</v>
      </c>
      <c r="AT355" s="176" t="e">
        <f t="shared" si="363"/>
        <v>#DIV/0!</v>
      </c>
      <c r="AU355" s="176" t="e">
        <f t="shared" si="364"/>
        <v>#DIV/0!</v>
      </c>
      <c r="AV355" s="176">
        <f t="shared" si="365"/>
        <v>0.95928582771306692</v>
      </c>
    </row>
    <row r="356" spans="1:48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366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61">
        <v>0</v>
      </c>
      <c r="X356" s="21"/>
      <c r="Y356" s="21"/>
      <c r="Z356" s="21"/>
      <c r="AA356" s="21"/>
      <c r="AB356" s="21"/>
      <c r="AC356" s="21"/>
      <c r="AD356" s="21"/>
      <c r="AE356" s="21"/>
      <c r="AF356" s="261">
        <f t="shared" si="347"/>
        <v>0</v>
      </c>
      <c r="AG356" s="21">
        <f t="shared" si="348"/>
        <v>0</v>
      </c>
      <c r="AI356" s="176">
        <f t="shared" si="367"/>
        <v>1</v>
      </c>
      <c r="AJ356" s="176">
        <f t="shared" si="353"/>
        <v>1</v>
      </c>
      <c r="AK356" s="176">
        <f t="shared" si="354"/>
        <v>1</v>
      </c>
      <c r="AL356" s="176">
        <f t="shared" si="355"/>
        <v>1</v>
      </c>
      <c r="AM356" s="176">
        <f t="shared" si="356"/>
        <v>1</v>
      </c>
      <c r="AN356" s="176">
        <f t="shared" si="357"/>
        <v>1</v>
      </c>
      <c r="AO356" s="176">
        <f t="shared" si="358"/>
        <v>1</v>
      </c>
      <c r="AP356" s="176">
        <f t="shared" si="359"/>
        <v>1</v>
      </c>
      <c r="AQ356" s="176">
        <f t="shared" si="360"/>
        <v>1</v>
      </c>
      <c r="AR356" s="176">
        <f t="shared" si="361"/>
        <v>1</v>
      </c>
      <c r="AS356" s="176">
        <f t="shared" si="362"/>
        <v>1</v>
      </c>
      <c r="AT356" s="176">
        <f t="shared" si="363"/>
        <v>1</v>
      </c>
      <c r="AU356" s="176">
        <f t="shared" si="364"/>
        <v>1</v>
      </c>
      <c r="AV356" s="176">
        <f t="shared" si="365"/>
        <v>1</v>
      </c>
    </row>
    <row r="357" spans="1:48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366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61">
        <v>54409900</v>
      </c>
      <c r="X357" s="21"/>
      <c r="Y357" s="21"/>
      <c r="Z357" s="21"/>
      <c r="AA357" s="21"/>
      <c r="AB357" s="21"/>
      <c r="AC357" s="21"/>
      <c r="AD357" s="21"/>
      <c r="AE357" s="21"/>
      <c r="AF357" s="261">
        <f t="shared" si="347"/>
        <v>183792359</v>
      </c>
      <c r="AG357" s="21">
        <f t="shared" si="348"/>
        <v>183792359</v>
      </c>
      <c r="AI357" s="176">
        <f t="shared" si="367"/>
        <v>-0.31026861314191267</v>
      </c>
      <c r="AJ357" s="176">
        <f t="shared" si="353"/>
        <v>1</v>
      </c>
      <c r="AK357" s="176">
        <f t="shared" si="354"/>
        <v>4.3714586858959015E-2</v>
      </c>
      <c r="AL357" s="176">
        <f t="shared" si="355"/>
        <v>4.6833868610791515E-2</v>
      </c>
      <c r="AM357" s="176">
        <f t="shared" si="356"/>
        <v>1</v>
      </c>
      <c r="AN357" s="176">
        <f t="shared" si="357"/>
        <v>1</v>
      </c>
      <c r="AO357" s="176">
        <f t="shared" si="358"/>
        <v>1</v>
      </c>
      <c r="AP357" s="176">
        <f t="shared" si="359"/>
        <v>1</v>
      </c>
      <c r="AQ357" s="176">
        <f t="shared" si="360"/>
        <v>1</v>
      </c>
      <c r="AR357" s="176">
        <f t="shared" si="361"/>
        <v>1</v>
      </c>
      <c r="AS357" s="176">
        <f t="shared" si="362"/>
        <v>1</v>
      </c>
      <c r="AT357" s="176">
        <f t="shared" si="363"/>
        <v>1</v>
      </c>
      <c r="AU357" s="176">
        <f t="shared" si="364"/>
        <v>0.19506996058195947</v>
      </c>
      <c r="AV357" s="176">
        <f t="shared" si="365"/>
        <v>0.73168998686065312</v>
      </c>
    </row>
    <row r="358" spans="1:48" x14ac:dyDescent="0.25">
      <c r="A358" s="7">
        <v>30201010104</v>
      </c>
      <c r="B358" s="8" t="s">
        <v>588</v>
      </c>
      <c r="C358" s="9">
        <f t="shared" ref="C358:N358" si="388">+C359+C360</f>
        <v>3333333.3333333335</v>
      </c>
      <c r="D358" s="9">
        <f t="shared" si="388"/>
        <v>3333333.3333333335</v>
      </c>
      <c r="E358" s="9">
        <f t="shared" si="388"/>
        <v>3333333.3333333335</v>
      </c>
      <c r="F358" s="9">
        <f t="shared" si="388"/>
        <v>3333333.3333333335</v>
      </c>
      <c r="G358" s="9">
        <f t="shared" si="388"/>
        <v>3333333.3333333335</v>
      </c>
      <c r="H358" s="9">
        <f t="shared" si="388"/>
        <v>3333333.3333333335</v>
      </c>
      <c r="I358" s="9">
        <f t="shared" si="388"/>
        <v>3333333.3333333335</v>
      </c>
      <c r="J358" s="9">
        <f t="shared" si="388"/>
        <v>3333333.3333333335</v>
      </c>
      <c r="K358" s="9">
        <f t="shared" si="388"/>
        <v>8333333.333333334</v>
      </c>
      <c r="L358" s="9">
        <f t="shared" si="388"/>
        <v>3333333.3333333335</v>
      </c>
      <c r="M358" s="9">
        <f t="shared" si="388"/>
        <v>3333333.3333333335</v>
      </c>
      <c r="N358" s="9">
        <f t="shared" si="388"/>
        <v>3333333.3333333335</v>
      </c>
      <c r="O358" s="9">
        <f t="shared" si="366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f t="shared" ref="W358" si="389">+W359+W360</f>
        <v>26400000</v>
      </c>
      <c r="X358" s="9"/>
      <c r="Y358" s="9"/>
      <c r="Z358" s="9"/>
      <c r="AA358" s="9"/>
      <c r="AB358" s="9"/>
      <c r="AC358" s="9"/>
      <c r="AD358" s="9"/>
      <c r="AE358" s="9"/>
      <c r="AF358" s="9">
        <f t="shared" si="347"/>
        <v>26400000</v>
      </c>
      <c r="AG358" s="9">
        <f t="shared" si="348"/>
        <v>26400000</v>
      </c>
      <c r="AI358" s="175">
        <f t="shared" si="367"/>
        <v>1</v>
      </c>
      <c r="AJ358" s="175">
        <f t="shared" si="353"/>
        <v>1</v>
      </c>
      <c r="AK358" s="175">
        <f t="shared" si="354"/>
        <v>1</v>
      </c>
      <c r="AL358" s="175">
        <f t="shared" si="355"/>
        <v>-6.92</v>
      </c>
      <c r="AM358" s="175">
        <f t="shared" si="356"/>
        <v>1</v>
      </c>
      <c r="AN358" s="175">
        <f t="shared" si="357"/>
        <v>1</v>
      </c>
      <c r="AO358" s="175">
        <f t="shared" si="358"/>
        <v>1</v>
      </c>
      <c r="AP358" s="175">
        <f t="shared" si="359"/>
        <v>1</v>
      </c>
      <c r="AQ358" s="175">
        <f t="shared" si="360"/>
        <v>1</v>
      </c>
      <c r="AR358" s="175">
        <f t="shared" si="361"/>
        <v>1</v>
      </c>
      <c r="AS358" s="175">
        <f t="shared" si="362"/>
        <v>1</v>
      </c>
      <c r="AT358" s="175">
        <f t="shared" si="363"/>
        <v>1</v>
      </c>
      <c r="AU358" s="175">
        <f t="shared" si="364"/>
        <v>-0.97999999999999987</v>
      </c>
      <c r="AV358" s="175">
        <f t="shared" si="365"/>
        <v>0.41333333333333333</v>
      </c>
    </row>
    <row r="359" spans="1:48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366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61">
        <v>0</v>
      </c>
      <c r="X359" s="21"/>
      <c r="Y359" s="21"/>
      <c r="Z359" s="21"/>
      <c r="AA359" s="21"/>
      <c r="AB359" s="21"/>
      <c r="AC359" s="21"/>
      <c r="AD359" s="21"/>
      <c r="AE359" s="21"/>
      <c r="AF359" s="261">
        <f t="shared" si="347"/>
        <v>0</v>
      </c>
      <c r="AG359" s="21">
        <f t="shared" si="348"/>
        <v>0</v>
      </c>
      <c r="AI359" s="176" t="e">
        <f t="shared" si="367"/>
        <v>#DIV/0!</v>
      </c>
      <c r="AJ359" s="176" t="e">
        <f t="shared" si="353"/>
        <v>#DIV/0!</v>
      </c>
      <c r="AK359" s="176" t="e">
        <f t="shared" si="354"/>
        <v>#DIV/0!</v>
      </c>
      <c r="AL359" s="176" t="e">
        <f t="shared" si="355"/>
        <v>#DIV/0!</v>
      </c>
      <c r="AM359" s="176" t="e">
        <f t="shared" si="356"/>
        <v>#DIV/0!</v>
      </c>
      <c r="AN359" s="176" t="e">
        <f t="shared" si="357"/>
        <v>#DIV/0!</v>
      </c>
      <c r="AO359" s="176" t="e">
        <f t="shared" si="358"/>
        <v>#DIV/0!</v>
      </c>
      <c r="AP359" s="176" t="e">
        <f t="shared" si="359"/>
        <v>#DIV/0!</v>
      </c>
      <c r="AQ359" s="176">
        <f t="shared" si="360"/>
        <v>1</v>
      </c>
      <c r="AR359" s="176" t="e">
        <f t="shared" si="361"/>
        <v>#DIV/0!</v>
      </c>
      <c r="AS359" s="176" t="e">
        <f t="shared" si="362"/>
        <v>#DIV/0!</v>
      </c>
      <c r="AT359" s="176" t="e">
        <f t="shared" si="363"/>
        <v>#DIV/0!</v>
      </c>
      <c r="AU359" s="176" t="e">
        <f t="shared" si="364"/>
        <v>#DIV/0!</v>
      </c>
      <c r="AV359" s="176">
        <f t="shared" si="365"/>
        <v>1</v>
      </c>
    </row>
    <row r="360" spans="1:48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366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61">
        <v>26400000</v>
      </c>
      <c r="X360" s="21"/>
      <c r="Y360" s="21"/>
      <c r="Z360" s="21"/>
      <c r="AA360" s="21"/>
      <c r="AB360" s="21"/>
      <c r="AC360" s="21"/>
      <c r="AD360" s="21"/>
      <c r="AE360" s="21"/>
      <c r="AF360" s="261">
        <f t="shared" si="347"/>
        <v>26400000</v>
      </c>
      <c r="AG360" s="21">
        <f t="shared" si="348"/>
        <v>26400000</v>
      </c>
      <c r="AI360" s="176">
        <f t="shared" si="367"/>
        <v>1</v>
      </c>
      <c r="AJ360" s="176">
        <f t="shared" si="353"/>
        <v>1</v>
      </c>
      <c r="AK360" s="176">
        <f t="shared" si="354"/>
        <v>1</v>
      </c>
      <c r="AL360" s="176">
        <f t="shared" si="355"/>
        <v>-6.92</v>
      </c>
      <c r="AM360" s="176">
        <f t="shared" si="356"/>
        <v>1</v>
      </c>
      <c r="AN360" s="176">
        <f t="shared" si="357"/>
        <v>1</v>
      </c>
      <c r="AO360" s="176">
        <f t="shared" si="358"/>
        <v>1</v>
      </c>
      <c r="AP360" s="176">
        <f t="shared" si="359"/>
        <v>1</v>
      </c>
      <c r="AQ360" s="176">
        <f t="shared" si="360"/>
        <v>1</v>
      </c>
      <c r="AR360" s="176">
        <f t="shared" si="361"/>
        <v>1</v>
      </c>
      <c r="AS360" s="176">
        <f t="shared" si="362"/>
        <v>1</v>
      </c>
      <c r="AT360" s="176">
        <f t="shared" si="363"/>
        <v>1</v>
      </c>
      <c r="AU360" s="176">
        <f t="shared" si="364"/>
        <v>-0.97999999999999987</v>
      </c>
      <c r="AV360" s="176">
        <f t="shared" si="365"/>
        <v>0.34</v>
      </c>
    </row>
    <row r="361" spans="1:48" x14ac:dyDescent="0.25">
      <c r="A361" s="7">
        <v>30201010105</v>
      </c>
      <c r="B361" s="8" t="s">
        <v>591</v>
      </c>
      <c r="C361" s="9">
        <f t="shared" ref="C361:N361" si="390">+C362</f>
        <v>0</v>
      </c>
      <c r="D361" s="9">
        <f t="shared" si="390"/>
        <v>0</v>
      </c>
      <c r="E361" s="9">
        <f t="shared" si="390"/>
        <v>0</v>
      </c>
      <c r="F361" s="9">
        <f t="shared" si="390"/>
        <v>0</v>
      </c>
      <c r="G361" s="9">
        <f t="shared" si="390"/>
        <v>0</v>
      </c>
      <c r="H361" s="9">
        <f t="shared" si="390"/>
        <v>0</v>
      </c>
      <c r="I361" s="9">
        <f t="shared" si="390"/>
        <v>0</v>
      </c>
      <c r="J361" s="9">
        <f t="shared" si="390"/>
        <v>0</v>
      </c>
      <c r="K361" s="9">
        <f t="shared" si="390"/>
        <v>260000000</v>
      </c>
      <c r="L361" s="9">
        <f t="shared" si="390"/>
        <v>0</v>
      </c>
      <c r="M361" s="9">
        <f t="shared" si="390"/>
        <v>0</v>
      </c>
      <c r="N361" s="9">
        <f t="shared" si="390"/>
        <v>0</v>
      </c>
      <c r="O361" s="9">
        <f t="shared" si="366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f t="shared" ref="W361" si="391">+W362</f>
        <v>0</v>
      </c>
      <c r="X361" s="9"/>
      <c r="Y361" s="9"/>
      <c r="Z361" s="9"/>
      <c r="AA361" s="9"/>
      <c r="AB361" s="9"/>
      <c r="AC361" s="9"/>
      <c r="AD361" s="9"/>
      <c r="AE361" s="9"/>
      <c r="AF361" s="9">
        <f t="shared" si="347"/>
        <v>0</v>
      </c>
      <c r="AG361" s="9">
        <f t="shared" si="348"/>
        <v>0</v>
      </c>
      <c r="AI361" s="175" t="e">
        <f t="shared" si="367"/>
        <v>#DIV/0!</v>
      </c>
      <c r="AJ361" s="175" t="e">
        <f t="shared" si="353"/>
        <v>#DIV/0!</v>
      </c>
      <c r="AK361" s="175" t="e">
        <f t="shared" si="354"/>
        <v>#DIV/0!</v>
      </c>
      <c r="AL361" s="175" t="e">
        <f t="shared" si="355"/>
        <v>#DIV/0!</v>
      </c>
      <c r="AM361" s="175" t="e">
        <f t="shared" si="356"/>
        <v>#DIV/0!</v>
      </c>
      <c r="AN361" s="175" t="e">
        <f t="shared" si="357"/>
        <v>#DIV/0!</v>
      </c>
      <c r="AO361" s="175" t="e">
        <f t="shared" si="358"/>
        <v>#DIV/0!</v>
      </c>
      <c r="AP361" s="175" t="e">
        <f t="shared" si="359"/>
        <v>#DIV/0!</v>
      </c>
      <c r="AQ361" s="175">
        <f t="shared" si="360"/>
        <v>1</v>
      </c>
      <c r="AR361" s="175" t="e">
        <f t="shared" si="361"/>
        <v>#DIV/0!</v>
      </c>
      <c r="AS361" s="175" t="e">
        <f t="shared" si="362"/>
        <v>#DIV/0!</v>
      </c>
      <c r="AT361" s="175" t="e">
        <f t="shared" si="363"/>
        <v>#DIV/0!</v>
      </c>
      <c r="AU361" s="175" t="e">
        <f t="shared" si="364"/>
        <v>#DIV/0!</v>
      </c>
      <c r="AV361" s="175">
        <f t="shared" si="365"/>
        <v>1</v>
      </c>
    </row>
    <row r="362" spans="1:48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366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61">
        <v>0</v>
      </c>
      <c r="X362" s="21"/>
      <c r="Y362" s="21"/>
      <c r="Z362" s="21"/>
      <c r="AA362" s="21"/>
      <c r="AB362" s="21"/>
      <c r="AC362" s="21"/>
      <c r="AD362" s="21"/>
      <c r="AE362" s="21"/>
      <c r="AF362" s="261">
        <f t="shared" si="347"/>
        <v>0</v>
      </c>
      <c r="AG362" s="21">
        <f t="shared" si="348"/>
        <v>0</v>
      </c>
      <c r="AI362" s="176" t="e">
        <f t="shared" si="367"/>
        <v>#DIV/0!</v>
      </c>
      <c r="AJ362" s="176" t="e">
        <f t="shared" si="353"/>
        <v>#DIV/0!</v>
      </c>
      <c r="AK362" s="176" t="e">
        <f t="shared" si="354"/>
        <v>#DIV/0!</v>
      </c>
      <c r="AL362" s="176" t="e">
        <f t="shared" si="355"/>
        <v>#DIV/0!</v>
      </c>
      <c r="AM362" s="176" t="e">
        <f t="shared" si="356"/>
        <v>#DIV/0!</v>
      </c>
      <c r="AN362" s="176" t="e">
        <f t="shared" si="357"/>
        <v>#DIV/0!</v>
      </c>
      <c r="AO362" s="176" t="e">
        <f t="shared" si="358"/>
        <v>#DIV/0!</v>
      </c>
      <c r="AP362" s="176" t="e">
        <f t="shared" si="359"/>
        <v>#DIV/0!</v>
      </c>
      <c r="AQ362" s="176">
        <f t="shared" si="360"/>
        <v>1</v>
      </c>
      <c r="AR362" s="176" t="e">
        <f t="shared" si="361"/>
        <v>#DIV/0!</v>
      </c>
      <c r="AS362" s="176" t="e">
        <f t="shared" si="362"/>
        <v>#DIV/0!</v>
      </c>
      <c r="AT362" s="176" t="e">
        <f t="shared" si="363"/>
        <v>#DIV/0!</v>
      </c>
      <c r="AU362" s="176" t="e">
        <f t="shared" si="364"/>
        <v>#DIV/0!</v>
      </c>
      <c r="AV362" s="176">
        <f t="shared" si="365"/>
        <v>1</v>
      </c>
    </row>
    <row r="363" spans="1:48" x14ac:dyDescent="0.25">
      <c r="A363" s="7">
        <v>30201010106</v>
      </c>
      <c r="B363" s="8" t="s">
        <v>761</v>
      </c>
      <c r="C363" s="9">
        <f t="shared" ref="C363:N363" si="392">+C364+C365+C366</f>
        <v>0</v>
      </c>
      <c r="D363" s="9">
        <f t="shared" si="392"/>
        <v>9090909.0909090918</v>
      </c>
      <c r="E363" s="9">
        <f t="shared" si="392"/>
        <v>9090909.0909090918</v>
      </c>
      <c r="F363" s="9">
        <f t="shared" si="392"/>
        <v>9090909.0909090918</v>
      </c>
      <c r="G363" s="9">
        <f t="shared" si="392"/>
        <v>9090909.0909090918</v>
      </c>
      <c r="H363" s="9">
        <f t="shared" si="392"/>
        <v>9090909.0909090918</v>
      </c>
      <c r="I363" s="9">
        <f t="shared" si="392"/>
        <v>9090909.0909090918</v>
      </c>
      <c r="J363" s="9">
        <f t="shared" si="392"/>
        <v>9090909.0909090918</v>
      </c>
      <c r="K363" s="9">
        <f t="shared" si="392"/>
        <v>19090909.090909094</v>
      </c>
      <c r="L363" s="9">
        <f t="shared" si="392"/>
        <v>9090909.0909090918</v>
      </c>
      <c r="M363" s="9">
        <f t="shared" si="392"/>
        <v>9090909.0909090918</v>
      </c>
      <c r="N363" s="9">
        <f t="shared" si="392"/>
        <v>9090909.0909090918</v>
      </c>
      <c r="O363" s="9">
        <f t="shared" si="366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f t="shared" ref="W363" si="393">+W364+W365+W366</f>
        <v>-175700</v>
      </c>
      <c r="X363" s="9"/>
      <c r="Y363" s="9"/>
      <c r="Z363" s="9"/>
      <c r="AA363" s="9"/>
      <c r="AB363" s="9"/>
      <c r="AC363" s="9"/>
      <c r="AD363" s="9"/>
      <c r="AE363" s="9"/>
      <c r="AF363" s="9">
        <f t="shared" si="347"/>
        <v>8074300</v>
      </c>
      <c r="AG363" s="9">
        <f t="shared" si="348"/>
        <v>8074300</v>
      </c>
      <c r="AI363" s="175" t="e">
        <f t="shared" si="367"/>
        <v>#DIV/0!</v>
      </c>
      <c r="AJ363" s="175">
        <f t="shared" si="353"/>
        <v>1</v>
      </c>
      <c r="AK363" s="175">
        <f t="shared" si="354"/>
        <v>9.2500000000000082E-2</v>
      </c>
      <c r="AL363" s="175">
        <f t="shared" si="355"/>
        <v>1.0193270000000001</v>
      </c>
      <c r="AM363" s="175">
        <f t="shared" si="356"/>
        <v>1</v>
      </c>
      <c r="AN363" s="175">
        <f t="shared" si="357"/>
        <v>1</v>
      </c>
      <c r="AO363" s="175">
        <f t="shared" si="358"/>
        <v>1</v>
      </c>
      <c r="AP363" s="175">
        <f t="shared" si="359"/>
        <v>1</v>
      </c>
      <c r="AQ363" s="175">
        <f t="shared" si="360"/>
        <v>1</v>
      </c>
      <c r="AR363" s="175">
        <f t="shared" si="361"/>
        <v>1</v>
      </c>
      <c r="AS363" s="175">
        <f t="shared" si="362"/>
        <v>1</v>
      </c>
      <c r="AT363" s="175">
        <f t="shared" si="363"/>
        <v>1</v>
      </c>
      <c r="AU363" s="175">
        <f t="shared" si="364"/>
        <v>0.70394233333333334</v>
      </c>
      <c r="AV363" s="175">
        <f t="shared" si="365"/>
        <v>0.92659727272727277</v>
      </c>
    </row>
    <row r="364" spans="1:48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366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61">
        <v>0</v>
      </c>
      <c r="X364" s="21"/>
      <c r="Y364" s="21"/>
      <c r="Z364" s="21"/>
      <c r="AA364" s="21"/>
      <c r="AB364" s="21"/>
      <c r="AC364" s="21"/>
      <c r="AD364" s="21"/>
      <c r="AE364" s="21"/>
      <c r="AF364" s="261">
        <f t="shared" si="347"/>
        <v>0</v>
      </c>
      <c r="AG364" s="21">
        <f t="shared" si="348"/>
        <v>0</v>
      </c>
      <c r="AI364" s="176" t="e">
        <f t="shared" si="367"/>
        <v>#DIV/0!</v>
      </c>
      <c r="AJ364" s="176" t="e">
        <f t="shared" si="353"/>
        <v>#DIV/0!</v>
      </c>
      <c r="AK364" s="176" t="e">
        <f t="shared" si="354"/>
        <v>#DIV/0!</v>
      </c>
      <c r="AL364" s="176" t="e">
        <f t="shared" si="355"/>
        <v>#DIV/0!</v>
      </c>
      <c r="AM364" s="176" t="e">
        <f t="shared" si="356"/>
        <v>#DIV/0!</v>
      </c>
      <c r="AN364" s="176" t="e">
        <f t="shared" si="357"/>
        <v>#DIV/0!</v>
      </c>
      <c r="AO364" s="176" t="e">
        <f t="shared" si="358"/>
        <v>#DIV/0!</v>
      </c>
      <c r="AP364" s="176" t="e">
        <f t="shared" si="359"/>
        <v>#DIV/0!</v>
      </c>
      <c r="AQ364" s="176">
        <f t="shared" si="360"/>
        <v>1</v>
      </c>
      <c r="AR364" s="176" t="e">
        <f t="shared" si="361"/>
        <v>#DIV/0!</v>
      </c>
      <c r="AS364" s="176" t="e">
        <f t="shared" si="362"/>
        <v>#DIV/0!</v>
      </c>
      <c r="AT364" s="176" t="e">
        <f t="shared" si="363"/>
        <v>#DIV/0!</v>
      </c>
      <c r="AU364" s="176" t="e">
        <f t="shared" si="364"/>
        <v>#DIV/0!</v>
      </c>
      <c r="AV364" s="176">
        <f t="shared" si="365"/>
        <v>1</v>
      </c>
    </row>
    <row r="365" spans="1:48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366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61">
        <v>0</v>
      </c>
      <c r="X365" s="21"/>
      <c r="Y365" s="21"/>
      <c r="Z365" s="21"/>
      <c r="AA365" s="21"/>
      <c r="AB365" s="21"/>
      <c r="AC365" s="21"/>
      <c r="AD365" s="21"/>
      <c r="AE365" s="21"/>
      <c r="AF365" s="261">
        <f t="shared" si="347"/>
        <v>1000000</v>
      </c>
      <c r="AG365" s="21">
        <f t="shared" si="348"/>
        <v>1000000</v>
      </c>
      <c r="AI365" s="176" t="e">
        <f t="shared" si="367"/>
        <v>#DIV/0!</v>
      </c>
      <c r="AJ365" s="176">
        <f t="shared" si="353"/>
        <v>0.78</v>
      </c>
      <c r="AK365" s="176">
        <f t="shared" si="354"/>
        <v>1</v>
      </c>
      <c r="AL365" s="176">
        <f t="shared" si="355"/>
        <v>1</v>
      </c>
      <c r="AM365" s="176">
        <f t="shared" si="356"/>
        <v>1</v>
      </c>
      <c r="AN365" s="176">
        <f t="shared" si="357"/>
        <v>1</v>
      </c>
      <c r="AO365" s="176">
        <f t="shared" si="358"/>
        <v>1</v>
      </c>
      <c r="AP365" s="176">
        <f t="shared" si="359"/>
        <v>1</v>
      </c>
      <c r="AQ365" s="176">
        <f t="shared" si="360"/>
        <v>1</v>
      </c>
      <c r="AR365" s="176">
        <f t="shared" si="361"/>
        <v>1</v>
      </c>
      <c r="AS365" s="176">
        <f t="shared" si="362"/>
        <v>1</v>
      </c>
      <c r="AT365" s="176">
        <f t="shared" si="363"/>
        <v>1</v>
      </c>
      <c r="AU365" s="176">
        <f t="shared" si="364"/>
        <v>0.92666666666666664</v>
      </c>
      <c r="AV365" s="176">
        <f t="shared" si="365"/>
        <v>0.98</v>
      </c>
    </row>
    <row r="366" spans="1:48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366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61">
        <v>-175700</v>
      </c>
      <c r="X366" s="21"/>
      <c r="Y366" s="21"/>
      <c r="Z366" s="21"/>
      <c r="AA366" s="21"/>
      <c r="AB366" s="21"/>
      <c r="AC366" s="21"/>
      <c r="AD366" s="21"/>
      <c r="AE366" s="21"/>
      <c r="AF366" s="261">
        <f t="shared" si="347"/>
        <v>8074300</v>
      </c>
      <c r="AG366" s="21">
        <f t="shared" si="348"/>
        <v>8074300</v>
      </c>
      <c r="AI366" s="176" t="e">
        <f t="shared" si="367"/>
        <v>#DIV/0!</v>
      </c>
      <c r="AJ366" s="176">
        <f t="shared" si="353"/>
        <v>1</v>
      </c>
      <c r="AK366" s="176">
        <f t="shared" si="354"/>
        <v>-0.81499999999999984</v>
      </c>
      <c r="AL366" s="176">
        <f t="shared" si="355"/>
        <v>1.038654</v>
      </c>
      <c r="AM366" s="176">
        <f t="shared" si="356"/>
        <v>1</v>
      </c>
      <c r="AN366" s="176">
        <f t="shared" si="357"/>
        <v>1</v>
      </c>
      <c r="AO366" s="176">
        <f t="shared" si="358"/>
        <v>1</v>
      </c>
      <c r="AP366" s="176">
        <f t="shared" si="359"/>
        <v>1</v>
      </c>
      <c r="AQ366" s="176">
        <f t="shared" si="360"/>
        <v>1</v>
      </c>
      <c r="AR366" s="176">
        <f t="shared" si="361"/>
        <v>1</v>
      </c>
      <c r="AS366" s="176">
        <f t="shared" si="362"/>
        <v>1</v>
      </c>
      <c r="AT366" s="176">
        <f t="shared" si="363"/>
        <v>1</v>
      </c>
      <c r="AU366" s="176">
        <f t="shared" si="364"/>
        <v>0.40788466666666667</v>
      </c>
      <c r="AV366" s="176">
        <f t="shared" si="365"/>
        <v>0.83851399999999998</v>
      </c>
    </row>
    <row r="367" spans="1:48" x14ac:dyDescent="0.25">
      <c r="A367" s="7">
        <v>30201010107</v>
      </c>
      <c r="B367" s="8" t="s">
        <v>597</v>
      </c>
      <c r="C367" s="9">
        <f t="shared" ref="C367:N367" si="394">+C368+C369</f>
        <v>57500000</v>
      </c>
      <c r="D367" s="9">
        <f t="shared" si="394"/>
        <v>57500000</v>
      </c>
      <c r="E367" s="9">
        <f t="shared" si="394"/>
        <v>57500000</v>
      </c>
      <c r="F367" s="9">
        <f t="shared" si="394"/>
        <v>57500000</v>
      </c>
      <c r="G367" s="9">
        <f t="shared" si="394"/>
        <v>0</v>
      </c>
      <c r="H367" s="9">
        <f t="shared" si="394"/>
        <v>0</v>
      </c>
      <c r="I367" s="9">
        <f t="shared" si="394"/>
        <v>0</v>
      </c>
      <c r="J367" s="9">
        <f t="shared" si="394"/>
        <v>0</v>
      </c>
      <c r="K367" s="9">
        <f t="shared" si="394"/>
        <v>130000000</v>
      </c>
      <c r="L367" s="9">
        <f t="shared" si="394"/>
        <v>0</v>
      </c>
      <c r="M367" s="9">
        <f t="shared" si="394"/>
        <v>0</v>
      </c>
      <c r="N367" s="9">
        <f t="shared" si="394"/>
        <v>0</v>
      </c>
      <c r="O367" s="9">
        <f t="shared" si="366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f t="shared" ref="W367" si="395">+W368+W369</f>
        <v>0</v>
      </c>
      <c r="X367" s="9"/>
      <c r="Y367" s="9"/>
      <c r="Z367" s="9"/>
      <c r="AA367" s="9"/>
      <c r="AB367" s="9"/>
      <c r="AC367" s="9"/>
      <c r="AD367" s="9"/>
      <c r="AE367" s="9"/>
      <c r="AF367" s="9">
        <f t="shared" si="347"/>
        <v>240472025</v>
      </c>
      <c r="AG367" s="9">
        <f t="shared" si="348"/>
        <v>240472025</v>
      </c>
      <c r="AI367" s="175">
        <f t="shared" si="367"/>
        <v>-1.9598613043478261</v>
      </c>
      <c r="AJ367" s="175">
        <f t="shared" si="353"/>
        <v>0.9826086956521739</v>
      </c>
      <c r="AK367" s="175">
        <f t="shared" si="354"/>
        <v>-0.2048695652173913</v>
      </c>
      <c r="AL367" s="175">
        <f t="shared" si="355"/>
        <v>1</v>
      </c>
      <c r="AM367" s="175" t="e">
        <f t="shared" si="356"/>
        <v>#DIV/0!</v>
      </c>
      <c r="AN367" s="175" t="e">
        <f t="shared" si="357"/>
        <v>#DIV/0!</v>
      </c>
      <c r="AO367" s="175" t="e">
        <f t="shared" si="358"/>
        <v>#DIV/0!</v>
      </c>
      <c r="AP367" s="175" t="e">
        <f t="shared" si="359"/>
        <v>#DIV/0!</v>
      </c>
      <c r="AQ367" s="175">
        <f t="shared" si="360"/>
        <v>1</v>
      </c>
      <c r="AR367" s="175" t="e">
        <f t="shared" si="361"/>
        <v>#DIV/0!</v>
      </c>
      <c r="AS367" s="175" t="e">
        <f t="shared" si="362"/>
        <v>#DIV/0!</v>
      </c>
      <c r="AT367" s="175" t="e">
        <f t="shared" si="363"/>
        <v>#DIV/0!</v>
      </c>
      <c r="AU367" s="175">
        <f t="shared" si="364"/>
        <v>-4.5530543478260868E-2</v>
      </c>
      <c r="AV367" s="175">
        <f t="shared" si="365"/>
        <v>0.3320221527777778</v>
      </c>
    </row>
    <row r="368" spans="1:48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366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61">
        <v>0</v>
      </c>
      <c r="X368" s="21"/>
      <c r="Y368" s="21"/>
      <c r="Z368" s="21"/>
      <c r="AA368" s="21"/>
      <c r="AB368" s="21"/>
      <c r="AC368" s="21"/>
      <c r="AD368" s="21"/>
      <c r="AE368" s="21"/>
      <c r="AF368" s="261">
        <f t="shared" si="347"/>
        <v>48140000</v>
      </c>
      <c r="AG368" s="21">
        <f t="shared" si="348"/>
        <v>48140000</v>
      </c>
      <c r="AI368" s="176" t="e">
        <f t="shared" si="367"/>
        <v>#DIV/0!</v>
      </c>
      <c r="AJ368" s="176" t="e">
        <f t="shared" si="353"/>
        <v>#DIV/0!</v>
      </c>
      <c r="AK368" s="176" t="e">
        <f t="shared" si="354"/>
        <v>#DIV/0!</v>
      </c>
      <c r="AL368" s="176" t="e">
        <f t="shared" si="355"/>
        <v>#DIV/0!</v>
      </c>
      <c r="AM368" s="176" t="e">
        <f t="shared" si="356"/>
        <v>#DIV/0!</v>
      </c>
      <c r="AN368" s="176" t="e">
        <f t="shared" si="357"/>
        <v>#DIV/0!</v>
      </c>
      <c r="AO368" s="176" t="e">
        <f t="shared" si="358"/>
        <v>#DIV/0!</v>
      </c>
      <c r="AP368" s="176" t="e">
        <f t="shared" si="359"/>
        <v>#DIV/0!</v>
      </c>
      <c r="AQ368" s="176">
        <f t="shared" si="360"/>
        <v>1</v>
      </c>
      <c r="AR368" s="176" t="e">
        <f t="shared" si="361"/>
        <v>#DIV/0!</v>
      </c>
      <c r="AS368" s="176" t="e">
        <f t="shared" si="362"/>
        <v>#DIV/0!</v>
      </c>
      <c r="AT368" s="176" t="e">
        <f t="shared" si="363"/>
        <v>#DIV/0!</v>
      </c>
      <c r="AU368" s="176" t="e">
        <f t="shared" si="364"/>
        <v>#DIV/0!</v>
      </c>
      <c r="AV368" s="176">
        <f t="shared" si="365"/>
        <v>0.62969230769230766</v>
      </c>
    </row>
    <row r="369" spans="1:48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366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61">
        <v>0</v>
      </c>
      <c r="X369" s="21"/>
      <c r="Y369" s="21"/>
      <c r="Z369" s="21"/>
      <c r="AA369" s="21"/>
      <c r="AB369" s="21"/>
      <c r="AC369" s="21"/>
      <c r="AD369" s="21"/>
      <c r="AE369" s="21"/>
      <c r="AF369" s="261">
        <f t="shared" si="347"/>
        <v>213332025</v>
      </c>
      <c r="AG369" s="21">
        <f t="shared" si="348"/>
        <v>213332025</v>
      </c>
      <c r="AI369" s="176">
        <f t="shared" si="367"/>
        <v>-1.9598613043478261</v>
      </c>
      <c r="AJ369" s="176">
        <f t="shared" si="353"/>
        <v>0.85217391304347823</v>
      </c>
      <c r="AK369" s="176">
        <f t="shared" si="354"/>
        <v>0.39756521739130435</v>
      </c>
      <c r="AL369" s="176">
        <f t="shared" si="355"/>
        <v>1</v>
      </c>
      <c r="AM369" s="176" t="e">
        <f t="shared" si="356"/>
        <v>#DIV/0!</v>
      </c>
      <c r="AN369" s="176" t="e">
        <f t="shared" si="357"/>
        <v>#DIV/0!</v>
      </c>
      <c r="AO369" s="176" t="e">
        <f t="shared" si="358"/>
        <v>#DIV/0!</v>
      </c>
      <c r="AP369" s="176" t="e">
        <f t="shared" si="359"/>
        <v>#DIV/0!</v>
      </c>
      <c r="AQ369" s="176" t="e">
        <f t="shared" si="360"/>
        <v>#DIV/0!</v>
      </c>
      <c r="AR369" s="176" t="e">
        <f t="shared" si="361"/>
        <v>#DIV/0!</v>
      </c>
      <c r="AS369" s="176" t="e">
        <f t="shared" si="362"/>
        <v>#DIV/0!</v>
      </c>
      <c r="AT369" s="176" t="e">
        <f t="shared" si="363"/>
        <v>#DIV/0!</v>
      </c>
      <c r="AU369" s="176">
        <f t="shared" si="364"/>
        <v>7.2469456521739126E-2</v>
      </c>
      <c r="AV369" s="176">
        <f t="shared" si="365"/>
        <v>7.2469456521739126E-2</v>
      </c>
    </row>
    <row r="370" spans="1:48" x14ac:dyDescent="0.25">
      <c r="A370" s="7">
        <v>30201010108</v>
      </c>
      <c r="B370" s="8" t="s">
        <v>600</v>
      </c>
      <c r="C370" s="9">
        <f t="shared" ref="C370:N370" si="396">+C371+C372</f>
        <v>0</v>
      </c>
      <c r="D370" s="9">
        <f t="shared" si="396"/>
        <v>0</v>
      </c>
      <c r="E370" s="9">
        <f t="shared" si="396"/>
        <v>0</v>
      </c>
      <c r="F370" s="9">
        <f t="shared" si="396"/>
        <v>0</v>
      </c>
      <c r="G370" s="9">
        <f t="shared" si="396"/>
        <v>0</v>
      </c>
      <c r="H370" s="9">
        <f t="shared" si="396"/>
        <v>0</v>
      </c>
      <c r="I370" s="9">
        <f t="shared" si="396"/>
        <v>0</v>
      </c>
      <c r="J370" s="9">
        <f t="shared" si="396"/>
        <v>0</v>
      </c>
      <c r="K370" s="9">
        <f t="shared" si="396"/>
        <v>0</v>
      </c>
      <c r="L370" s="9">
        <f t="shared" si="396"/>
        <v>0</v>
      </c>
      <c r="M370" s="9">
        <f t="shared" si="396"/>
        <v>15000000</v>
      </c>
      <c r="N370" s="9">
        <f t="shared" si="396"/>
        <v>0</v>
      </c>
      <c r="O370" s="9">
        <f t="shared" si="366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f t="shared" ref="W370" si="397">+W371+W372</f>
        <v>0</v>
      </c>
      <c r="X370" s="9"/>
      <c r="Y370" s="9"/>
      <c r="Z370" s="9"/>
      <c r="AA370" s="9"/>
      <c r="AB370" s="9"/>
      <c r="AC370" s="9"/>
      <c r="AD370" s="9"/>
      <c r="AE370" s="9"/>
      <c r="AF370" s="9">
        <f t="shared" si="347"/>
        <v>5000000</v>
      </c>
      <c r="AG370" s="9">
        <f t="shared" si="348"/>
        <v>5000000</v>
      </c>
      <c r="AI370" s="175" t="e">
        <f t="shared" si="367"/>
        <v>#DIV/0!</v>
      </c>
      <c r="AJ370" s="175" t="e">
        <f t="shared" si="353"/>
        <v>#DIV/0!</v>
      </c>
      <c r="AK370" s="175" t="e">
        <f t="shared" si="354"/>
        <v>#DIV/0!</v>
      </c>
      <c r="AL370" s="175" t="e">
        <f t="shared" si="355"/>
        <v>#DIV/0!</v>
      </c>
      <c r="AM370" s="175" t="e">
        <f t="shared" si="356"/>
        <v>#DIV/0!</v>
      </c>
      <c r="AN370" s="175" t="e">
        <f t="shared" si="357"/>
        <v>#DIV/0!</v>
      </c>
      <c r="AO370" s="175" t="e">
        <f t="shared" si="358"/>
        <v>#DIV/0!</v>
      </c>
      <c r="AP370" s="175" t="e">
        <f t="shared" si="359"/>
        <v>#DIV/0!</v>
      </c>
      <c r="AQ370" s="175" t="e">
        <f t="shared" si="360"/>
        <v>#DIV/0!</v>
      </c>
      <c r="AR370" s="175" t="e">
        <f t="shared" si="361"/>
        <v>#DIV/0!</v>
      </c>
      <c r="AS370" s="175">
        <f t="shared" si="362"/>
        <v>1</v>
      </c>
      <c r="AT370" s="175" t="e">
        <f t="shared" si="363"/>
        <v>#DIV/0!</v>
      </c>
      <c r="AU370" s="175" t="e">
        <f t="shared" si="364"/>
        <v>#DIV/0!</v>
      </c>
      <c r="AV370" s="175">
        <f t="shared" si="365"/>
        <v>0.66666666666666663</v>
      </c>
    </row>
    <row r="371" spans="1:48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366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61">
        <v>0</v>
      </c>
      <c r="X371" s="21"/>
      <c r="Y371" s="21"/>
      <c r="Z371" s="21"/>
      <c r="AA371" s="21"/>
      <c r="AB371" s="21"/>
      <c r="AC371" s="21"/>
      <c r="AD371" s="21"/>
      <c r="AE371" s="21"/>
      <c r="AF371" s="261">
        <f t="shared" si="347"/>
        <v>0</v>
      </c>
      <c r="AG371" s="21">
        <f t="shared" si="348"/>
        <v>0</v>
      </c>
      <c r="AI371" s="176" t="e">
        <f t="shared" si="367"/>
        <v>#DIV/0!</v>
      </c>
      <c r="AJ371" s="176" t="e">
        <f t="shared" si="353"/>
        <v>#DIV/0!</v>
      </c>
      <c r="AK371" s="176" t="e">
        <f t="shared" si="354"/>
        <v>#DIV/0!</v>
      </c>
      <c r="AL371" s="176" t="e">
        <f t="shared" si="355"/>
        <v>#DIV/0!</v>
      </c>
      <c r="AM371" s="176" t="e">
        <f t="shared" si="356"/>
        <v>#DIV/0!</v>
      </c>
      <c r="AN371" s="176" t="e">
        <f t="shared" si="357"/>
        <v>#DIV/0!</v>
      </c>
      <c r="AO371" s="176" t="e">
        <f t="shared" si="358"/>
        <v>#DIV/0!</v>
      </c>
      <c r="AP371" s="176" t="e">
        <f t="shared" si="359"/>
        <v>#DIV/0!</v>
      </c>
      <c r="AQ371" s="176" t="e">
        <f t="shared" si="360"/>
        <v>#DIV/0!</v>
      </c>
      <c r="AR371" s="176" t="e">
        <f t="shared" si="361"/>
        <v>#DIV/0!</v>
      </c>
      <c r="AS371" s="176">
        <f t="shared" si="362"/>
        <v>1</v>
      </c>
      <c r="AT371" s="176" t="e">
        <f t="shared" si="363"/>
        <v>#DIV/0!</v>
      </c>
      <c r="AU371" s="176" t="e">
        <f t="shared" si="364"/>
        <v>#DIV/0!</v>
      </c>
      <c r="AV371" s="176">
        <f t="shared" si="365"/>
        <v>1</v>
      </c>
    </row>
    <row r="372" spans="1:48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366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61">
        <v>0</v>
      </c>
      <c r="X372" s="21"/>
      <c r="Y372" s="21"/>
      <c r="Z372" s="21"/>
      <c r="AA372" s="21"/>
      <c r="AB372" s="21"/>
      <c r="AC372" s="21"/>
      <c r="AD372" s="21"/>
      <c r="AE372" s="21"/>
      <c r="AF372" s="261">
        <f t="shared" si="347"/>
        <v>0</v>
      </c>
      <c r="AG372" s="21">
        <f t="shared" si="348"/>
        <v>0</v>
      </c>
      <c r="AI372" s="176" t="e">
        <f t="shared" si="367"/>
        <v>#DIV/0!</v>
      </c>
      <c r="AJ372" s="176" t="e">
        <f t="shared" si="353"/>
        <v>#DIV/0!</v>
      </c>
      <c r="AK372" s="176" t="e">
        <f t="shared" si="354"/>
        <v>#DIV/0!</v>
      </c>
      <c r="AL372" s="176" t="e">
        <f t="shared" si="355"/>
        <v>#DIV/0!</v>
      </c>
      <c r="AM372" s="176" t="e">
        <f t="shared" si="356"/>
        <v>#DIV/0!</v>
      </c>
      <c r="AN372" s="176" t="e">
        <f t="shared" si="357"/>
        <v>#DIV/0!</v>
      </c>
      <c r="AO372" s="176" t="e">
        <f t="shared" si="358"/>
        <v>#DIV/0!</v>
      </c>
      <c r="AP372" s="176" t="e">
        <f t="shared" si="359"/>
        <v>#DIV/0!</v>
      </c>
      <c r="AQ372" s="176" t="e">
        <f t="shared" si="360"/>
        <v>#DIV/0!</v>
      </c>
      <c r="AR372" s="176" t="e">
        <f t="shared" si="361"/>
        <v>#DIV/0!</v>
      </c>
      <c r="AS372" s="176">
        <f t="shared" si="362"/>
        <v>1</v>
      </c>
      <c r="AT372" s="176" t="e">
        <f t="shared" si="363"/>
        <v>#DIV/0!</v>
      </c>
      <c r="AU372" s="176" t="e">
        <f t="shared" si="364"/>
        <v>#DIV/0!</v>
      </c>
      <c r="AV372" s="176">
        <f t="shared" si="365"/>
        <v>1</v>
      </c>
    </row>
    <row r="373" spans="1:48" x14ac:dyDescent="0.25">
      <c r="A373" s="7">
        <v>30201010109</v>
      </c>
      <c r="B373" s="8" t="s">
        <v>603</v>
      </c>
      <c r="C373" s="9">
        <f t="shared" ref="C373:N373" si="398">+C374+C375</f>
        <v>11000000</v>
      </c>
      <c r="D373" s="9">
        <f t="shared" si="398"/>
        <v>11000000</v>
      </c>
      <c r="E373" s="9">
        <f t="shared" si="398"/>
        <v>16000000</v>
      </c>
      <c r="F373" s="9">
        <f t="shared" si="398"/>
        <v>16000000</v>
      </c>
      <c r="G373" s="9">
        <f t="shared" si="398"/>
        <v>16000000</v>
      </c>
      <c r="H373" s="9">
        <f t="shared" si="398"/>
        <v>0</v>
      </c>
      <c r="I373" s="9">
        <f t="shared" si="398"/>
        <v>0</v>
      </c>
      <c r="J373" s="9">
        <f t="shared" si="398"/>
        <v>0</v>
      </c>
      <c r="K373" s="9">
        <f t="shared" si="398"/>
        <v>0</v>
      </c>
      <c r="L373" s="9">
        <f t="shared" si="398"/>
        <v>0</v>
      </c>
      <c r="M373" s="9">
        <f t="shared" si="398"/>
        <v>0</v>
      </c>
      <c r="N373" s="9">
        <f t="shared" si="398"/>
        <v>0</v>
      </c>
      <c r="O373" s="9">
        <f t="shared" si="366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f t="shared" ref="W373" si="399">+W374+W375</f>
        <v>3672000</v>
      </c>
      <c r="X373" s="9"/>
      <c r="Y373" s="9"/>
      <c r="Z373" s="9"/>
      <c r="AA373" s="9"/>
      <c r="AB373" s="9"/>
      <c r="AC373" s="9"/>
      <c r="AD373" s="9"/>
      <c r="AE373" s="9"/>
      <c r="AF373" s="9">
        <f t="shared" si="347"/>
        <v>7500600</v>
      </c>
      <c r="AG373" s="9">
        <f t="shared" si="348"/>
        <v>7500600</v>
      </c>
      <c r="AI373" s="175">
        <f t="shared" si="367"/>
        <v>0.9857636363636364</v>
      </c>
      <c r="AJ373" s="175">
        <f t="shared" si="353"/>
        <v>1</v>
      </c>
      <c r="AK373" s="175">
        <f t="shared" si="354"/>
        <v>0.77049999999999996</v>
      </c>
      <c r="AL373" s="175">
        <f t="shared" si="355"/>
        <v>0.77049999999999996</v>
      </c>
      <c r="AM373" s="175">
        <f t="shared" si="356"/>
        <v>1</v>
      </c>
      <c r="AN373" s="175" t="e">
        <f t="shared" si="357"/>
        <v>#DIV/0!</v>
      </c>
      <c r="AO373" s="175" t="e">
        <f t="shared" si="358"/>
        <v>#DIV/0!</v>
      </c>
      <c r="AP373" s="175" t="e">
        <f t="shared" si="359"/>
        <v>#DIV/0!</v>
      </c>
      <c r="AQ373" s="175" t="e">
        <f t="shared" si="360"/>
        <v>#DIV/0!</v>
      </c>
      <c r="AR373" s="175" t="e">
        <f t="shared" si="361"/>
        <v>#DIV/0!</v>
      </c>
      <c r="AS373" s="175" t="e">
        <f t="shared" si="362"/>
        <v>#DIV/0!</v>
      </c>
      <c r="AT373" s="175" t="e">
        <f t="shared" si="363"/>
        <v>#DIV/0!</v>
      </c>
      <c r="AU373" s="175">
        <f t="shared" si="364"/>
        <v>0.86109999999999998</v>
      </c>
      <c r="AV373" s="175">
        <f t="shared" si="365"/>
        <v>0.89284857142857144</v>
      </c>
    </row>
    <row r="374" spans="1:48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366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61">
        <v>1836000</v>
      </c>
      <c r="X374" s="21"/>
      <c r="Y374" s="21"/>
      <c r="Z374" s="21"/>
      <c r="AA374" s="21"/>
      <c r="AB374" s="21"/>
      <c r="AC374" s="21"/>
      <c r="AD374" s="21"/>
      <c r="AE374" s="21"/>
      <c r="AF374" s="261">
        <f t="shared" si="347"/>
        <v>3750300</v>
      </c>
      <c r="AG374" s="21">
        <f t="shared" si="348"/>
        <v>3750300</v>
      </c>
      <c r="AI374" s="176" t="e">
        <f t="shared" si="367"/>
        <v>#DIV/0!</v>
      </c>
      <c r="AJ374" s="176" t="e">
        <f t="shared" si="353"/>
        <v>#DIV/0!</v>
      </c>
      <c r="AK374" s="176">
        <f t="shared" si="354"/>
        <v>0.63280000000000003</v>
      </c>
      <c r="AL374" s="176">
        <f t="shared" si="355"/>
        <v>0.63280000000000003</v>
      </c>
      <c r="AM374" s="176">
        <f t="shared" si="356"/>
        <v>1</v>
      </c>
      <c r="AN374" s="176" t="e">
        <f t="shared" si="357"/>
        <v>#DIV/0!</v>
      </c>
      <c r="AO374" s="176" t="e">
        <f t="shared" si="358"/>
        <v>#DIV/0!</v>
      </c>
      <c r="AP374" s="176" t="e">
        <f t="shared" si="359"/>
        <v>#DIV/0!</v>
      </c>
      <c r="AQ374" s="176" t="e">
        <f t="shared" si="360"/>
        <v>#DIV/0!</v>
      </c>
      <c r="AR374" s="176" t="e">
        <f t="shared" si="361"/>
        <v>#DIV/0!</v>
      </c>
      <c r="AS374" s="176" t="e">
        <f t="shared" si="362"/>
        <v>#DIV/0!</v>
      </c>
      <c r="AT374" s="176" t="e">
        <f t="shared" si="363"/>
        <v>#DIV/0!</v>
      </c>
      <c r="AU374" s="176">
        <f t="shared" si="364"/>
        <v>0.62497000000000003</v>
      </c>
      <c r="AV374" s="176">
        <f t="shared" si="365"/>
        <v>0.74997999999999998</v>
      </c>
    </row>
    <row r="375" spans="1:48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366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61">
        <v>1836000</v>
      </c>
      <c r="X375" s="21"/>
      <c r="Y375" s="21"/>
      <c r="Z375" s="21"/>
      <c r="AA375" s="21"/>
      <c r="AB375" s="21"/>
      <c r="AC375" s="21"/>
      <c r="AD375" s="21"/>
      <c r="AE375" s="21"/>
      <c r="AF375" s="261">
        <f t="shared" si="347"/>
        <v>3750300</v>
      </c>
      <c r="AG375" s="21">
        <f t="shared" si="348"/>
        <v>3750300</v>
      </c>
      <c r="AI375" s="176">
        <f t="shared" si="367"/>
        <v>0.9928818181818182</v>
      </c>
      <c r="AJ375" s="176">
        <f t="shared" si="353"/>
        <v>1</v>
      </c>
      <c r="AK375" s="176">
        <f t="shared" si="354"/>
        <v>0.8330909090909091</v>
      </c>
      <c r="AL375" s="176">
        <f t="shared" si="355"/>
        <v>0.8330909090909091</v>
      </c>
      <c r="AM375" s="176">
        <f t="shared" si="356"/>
        <v>1</v>
      </c>
      <c r="AN375" s="176" t="e">
        <f t="shared" si="357"/>
        <v>#DIV/0!</v>
      </c>
      <c r="AO375" s="176" t="e">
        <f t="shared" si="358"/>
        <v>#DIV/0!</v>
      </c>
      <c r="AP375" s="176" t="e">
        <f t="shared" si="359"/>
        <v>#DIV/0!</v>
      </c>
      <c r="AQ375" s="176" t="e">
        <f t="shared" si="360"/>
        <v>#DIV/0!</v>
      </c>
      <c r="AR375" s="176" t="e">
        <f t="shared" si="361"/>
        <v>#DIV/0!</v>
      </c>
      <c r="AS375" s="176" t="e">
        <f t="shared" si="362"/>
        <v>#DIV/0!</v>
      </c>
      <c r="AT375" s="176" t="e">
        <f t="shared" si="363"/>
        <v>#DIV/0!</v>
      </c>
      <c r="AU375" s="176">
        <f t="shared" si="364"/>
        <v>0.91476590909090905</v>
      </c>
      <c r="AV375" s="176">
        <f t="shared" si="365"/>
        <v>0.93181272727272724</v>
      </c>
    </row>
    <row r="376" spans="1:48" x14ac:dyDescent="0.25">
      <c r="A376" s="7">
        <v>30201010110</v>
      </c>
      <c r="B376" s="8" t="s">
        <v>606</v>
      </c>
      <c r="C376" s="9">
        <f t="shared" ref="C376:N376" si="400">+C377</f>
        <v>0</v>
      </c>
      <c r="D376" s="9">
        <f t="shared" si="400"/>
        <v>0</v>
      </c>
      <c r="E376" s="9">
        <f t="shared" si="400"/>
        <v>0</v>
      </c>
      <c r="F376" s="9">
        <f t="shared" si="400"/>
        <v>0</v>
      </c>
      <c r="G376" s="9">
        <f t="shared" si="400"/>
        <v>0</v>
      </c>
      <c r="H376" s="9">
        <f t="shared" si="400"/>
        <v>0</v>
      </c>
      <c r="I376" s="9">
        <f t="shared" si="400"/>
        <v>0</v>
      </c>
      <c r="J376" s="9">
        <f t="shared" si="400"/>
        <v>0</v>
      </c>
      <c r="K376" s="9">
        <f t="shared" si="400"/>
        <v>10000000</v>
      </c>
      <c r="L376" s="9">
        <f t="shared" si="400"/>
        <v>0</v>
      </c>
      <c r="M376" s="9">
        <f t="shared" si="400"/>
        <v>0</v>
      </c>
      <c r="N376" s="9">
        <f t="shared" si="400"/>
        <v>0</v>
      </c>
      <c r="O376" s="9">
        <f t="shared" si="366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f t="shared" ref="W376" si="401">+W377</f>
        <v>0</v>
      </c>
      <c r="X376" s="9"/>
      <c r="Y376" s="9"/>
      <c r="Z376" s="9"/>
      <c r="AA376" s="9"/>
      <c r="AB376" s="9"/>
      <c r="AC376" s="9"/>
      <c r="AD376" s="9"/>
      <c r="AE376" s="9"/>
      <c r="AF376" s="9">
        <f t="shared" si="347"/>
        <v>0</v>
      </c>
      <c r="AG376" s="9">
        <f t="shared" si="348"/>
        <v>0</v>
      </c>
      <c r="AI376" s="175" t="e">
        <f t="shared" si="367"/>
        <v>#DIV/0!</v>
      </c>
      <c r="AJ376" s="175" t="e">
        <f t="shared" si="353"/>
        <v>#DIV/0!</v>
      </c>
      <c r="AK376" s="175" t="e">
        <f t="shared" si="354"/>
        <v>#DIV/0!</v>
      </c>
      <c r="AL376" s="175" t="e">
        <f t="shared" si="355"/>
        <v>#DIV/0!</v>
      </c>
      <c r="AM376" s="175" t="e">
        <f t="shared" si="356"/>
        <v>#DIV/0!</v>
      </c>
      <c r="AN376" s="175" t="e">
        <f t="shared" si="357"/>
        <v>#DIV/0!</v>
      </c>
      <c r="AO376" s="175" t="e">
        <f t="shared" si="358"/>
        <v>#DIV/0!</v>
      </c>
      <c r="AP376" s="175" t="e">
        <f t="shared" si="359"/>
        <v>#DIV/0!</v>
      </c>
      <c r="AQ376" s="175">
        <f t="shared" si="360"/>
        <v>1</v>
      </c>
      <c r="AR376" s="175" t="e">
        <f t="shared" si="361"/>
        <v>#DIV/0!</v>
      </c>
      <c r="AS376" s="175" t="e">
        <f t="shared" si="362"/>
        <v>#DIV/0!</v>
      </c>
      <c r="AT376" s="175" t="e">
        <f t="shared" si="363"/>
        <v>#DIV/0!</v>
      </c>
      <c r="AU376" s="175" t="e">
        <f t="shared" si="364"/>
        <v>#DIV/0!</v>
      </c>
      <c r="AV376" s="175">
        <f t="shared" si="365"/>
        <v>1</v>
      </c>
    </row>
    <row r="377" spans="1:48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366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61">
        <v>0</v>
      </c>
      <c r="X377" s="21"/>
      <c r="Y377" s="21"/>
      <c r="Z377" s="21"/>
      <c r="AA377" s="21"/>
      <c r="AB377" s="21"/>
      <c r="AC377" s="21"/>
      <c r="AD377" s="21"/>
      <c r="AE377" s="21"/>
      <c r="AF377" s="261">
        <f t="shared" si="347"/>
        <v>0</v>
      </c>
      <c r="AG377" s="21">
        <f t="shared" si="348"/>
        <v>0</v>
      </c>
      <c r="AI377" s="176" t="e">
        <f t="shared" si="367"/>
        <v>#DIV/0!</v>
      </c>
      <c r="AJ377" s="176" t="e">
        <f t="shared" si="353"/>
        <v>#DIV/0!</v>
      </c>
      <c r="AK377" s="176" t="e">
        <f t="shared" si="354"/>
        <v>#DIV/0!</v>
      </c>
      <c r="AL377" s="176" t="e">
        <f t="shared" si="355"/>
        <v>#DIV/0!</v>
      </c>
      <c r="AM377" s="176" t="e">
        <f t="shared" si="356"/>
        <v>#DIV/0!</v>
      </c>
      <c r="AN377" s="176" t="e">
        <f t="shared" si="357"/>
        <v>#DIV/0!</v>
      </c>
      <c r="AO377" s="176" t="e">
        <f t="shared" si="358"/>
        <v>#DIV/0!</v>
      </c>
      <c r="AP377" s="176" t="e">
        <f t="shared" si="359"/>
        <v>#DIV/0!</v>
      </c>
      <c r="AQ377" s="176">
        <f t="shared" si="360"/>
        <v>1</v>
      </c>
      <c r="AR377" s="176" t="e">
        <f t="shared" si="361"/>
        <v>#DIV/0!</v>
      </c>
      <c r="AS377" s="176" t="e">
        <f t="shared" si="362"/>
        <v>#DIV/0!</v>
      </c>
      <c r="AT377" s="176" t="e">
        <f t="shared" si="363"/>
        <v>#DIV/0!</v>
      </c>
      <c r="AU377" s="176" t="e">
        <f t="shared" si="364"/>
        <v>#DIV/0!</v>
      </c>
      <c r="AV377" s="176">
        <f t="shared" si="365"/>
        <v>1</v>
      </c>
    </row>
    <row r="378" spans="1:48" x14ac:dyDescent="0.25">
      <c r="A378" s="7">
        <v>30201010111</v>
      </c>
      <c r="B378" s="8" t="s">
        <v>608</v>
      </c>
      <c r="C378" s="9">
        <f t="shared" ref="C378:N378" si="402">+C379+C380+C381</f>
        <v>175000000</v>
      </c>
      <c r="D378" s="9">
        <f t="shared" si="402"/>
        <v>0</v>
      </c>
      <c r="E378" s="9">
        <f t="shared" si="402"/>
        <v>0</v>
      </c>
      <c r="F378" s="9">
        <f t="shared" si="402"/>
        <v>110000000</v>
      </c>
      <c r="G378" s="9">
        <f t="shared" si="402"/>
        <v>0</v>
      </c>
      <c r="H378" s="9">
        <f t="shared" si="402"/>
        <v>0</v>
      </c>
      <c r="I378" s="9">
        <f t="shared" si="402"/>
        <v>0</v>
      </c>
      <c r="J378" s="9">
        <f t="shared" si="402"/>
        <v>0</v>
      </c>
      <c r="K378" s="9">
        <f t="shared" si="402"/>
        <v>65000000</v>
      </c>
      <c r="L378" s="9">
        <f t="shared" si="402"/>
        <v>0</v>
      </c>
      <c r="M378" s="9">
        <f t="shared" si="402"/>
        <v>0</v>
      </c>
      <c r="N378" s="9">
        <f t="shared" si="402"/>
        <v>0</v>
      </c>
      <c r="O378" s="9">
        <f t="shared" si="366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f t="shared" ref="W378" si="403">+W379+W380+W381</f>
        <v>0</v>
      </c>
      <c r="X378" s="9"/>
      <c r="Y378" s="9"/>
      <c r="Z378" s="9"/>
      <c r="AA378" s="9"/>
      <c r="AB378" s="9"/>
      <c r="AC378" s="9"/>
      <c r="AD378" s="9"/>
      <c r="AE378" s="9"/>
      <c r="AF378" s="9">
        <f t="shared" si="347"/>
        <v>1500000</v>
      </c>
      <c r="AG378" s="9">
        <f t="shared" si="348"/>
        <v>1500000</v>
      </c>
      <c r="AI378" s="175">
        <f t="shared" si="367"/>
        <v>0.99142857142857144</v>
      </c>
      <c r="AJ378" s="175" t="e">
        <f t="shared" si="353"/>
        <v>#DIV/0!</v>
      </c>
      <c r="AK378" s="175" t="e">
        <f t="shared" si="354"/>
        <v>#DIV/0!</v>
      </c>
      <c r="AL378" s="175">
        <f t="shared" si="355"/>
        <v>1</v>
      </c>
      <c r="AM378" s="175" t="e">
        <f t="shared" si="356"/>
        <v>#DIV/0!</v>
      </c>
      <c r="AN378" s="175" t="e">
        <f t="shared" si="357"/>
        <v>#DIV/0!</v>
      </c>
      <c r="AO378" s="175" t="e">
        <f t="shared" si="358"/>
        <v>#DIV/0!</v>
      </c>
      <c r="AP378" s="175" t="e">
        <f t="shared" si="359"/>
        <v>#DIV/0!</v>
      </c>
      <c r="AQ378" s="175">
        <f t="shared" si="360"/>
        <v>1</v>
      </c>
      <c r="AR378" s="175" t="e">
        <f t="shared" si="361"/>
        <v>#DIV/0!</v>
      </c>
      <c r="AS378" s="175" t="e">
        <f t="shared" si="362"/>
        <v>#DIV/0!</v>
      </c>
      <c r="AT378" s="175" t="e">
        <f t="shared" si="363"/>
        <v>#DIV/0!</v>
      </c>
      <c r="AU378" s="175">
        <f t="shared" si="364"/>
        <v>0.99473684210526314</v>
      </c>
      <c r="AV378" s="175">
        <f t="shared" si="365"/>
        <v>0.99571428571428566</v>
      </c>
    </row>
    <row r="379" spans="1:48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366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61">
        <v>0</v>
      </c>
      <c r="X379" s="21"/>
      <c r="Y379" s="21"/>
      <c r="Z379" s="21"/>
      <c r="AA379" s="21"/>
      <c r="AB379" s="21"/>
      <c r="AC379" s="21"/>
      <c r="AD379" s="21"/>
      <c r="AE379" s="21"/>
      <c r="AF379" s="261">
        <f t="shared" si="347"/>
        <v>0</v>
      </c>
      <c r="AG379" s="21">
        <f t="shared" si="348"/>
        <v>0</v>
      </c>
      <c r="AI379" s="176" t="e">
        <f t="shared" si="367"/>
        <v>#DIV/0!</v>
      </c>
      <c r="AJ379" s="176" t="e">
        <f t="shared" si="353"/>
        <v>#DIV/0!</v>
      </c>
      <c r="AK379" s="176" t="e">
        <f t="shared" si="354"/>
        <v>#DIV/0!</v>
      </c>
      <c r="AL379" s="176" t="e">
        <f t="shared" si="355"/>
        <v>#DIV/0!</v>
      </c>
      <c r="AM379" s="176" t="e">
        <f t="shared" si="356"/>
        <v>#DIV/0!</v>
      </c>
      <c r="AN379" s="176" t="e">
        <f t="shared" si="357"/>
        <v>#DIV/0!</v>
      </c>
      <c r="AO379" s="176" t="e">
        <f t="shared" si="358"/>
        <v>#DIV/0!</v>
      </c>
      <c r="AP379" s="176" t="e">
        <f t="shared" si="359"/>
        <v>#DIV/0!</v>
      </c>
      <c r="AQ379" s="176">
        <f t="shared" si="360"/>
        <v>1</v>
      </c>
      <c r="AR379" s="176" t="e">
        <f t="shared" si="361"/>
        <v>#DIV/0!</v>
      </c>
      <c r="AS379" s="176" t="e">
        <f t="shared" si="362"/>
        <v>#DIV/0!</v>
      </c>
      <c r="AT379" s="176" t="e">
        <f t="shared" si="363"/>
        <v>#DIV/0!</v>
      </c>
      <c r="AU379" s="176" t="e">
        <f t="shared" si="364"/>
        <v>#DIV/0!</v>
      </c>
      <c r="AV379" s="176">
        <f t="shared" si="365"/>
        <v>1</v>
      </c>
    </row>
    <row r="380" spans="1:48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366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61">
        <v>0</v>
      </c>
      <c r="X380" s="21"/>
      <c r="Y380" s="21"/>
      <c r="Z380" s="21"/>
      <c r="AA380" s="21"/>
      <c r="AB380" s="21"/>
      <c r="AC380" s="21"/>
      <c r="AD380" s="21"/>
      <c r="AE380" s="21"/>
      <c r="AF380" s="261">
        <f t="shared" si="347"/>
        <v>1500000</v>
      </c>
      <c r="AG380" s="21">
        <f t="shared" si="348"/>
        <v>1500000</v>
      </c>
      <c r="AI380" s="176" t="e">
        <f t="shared" si="367"/>
        <v>#DIV/0!</v>
      </c>
      <c r="AJ380" s="176" t="e">
        <f t="shared" si="353"/>
        <v>#DIV/0!</v>
      </c>
      <c r="AK380" s="176" t="e">
        <f t="shared" si="354"/>
        <v>#DIV/0!</v>
      </c>
      <c r="AL380" s="176">
        <f t="shared" si="355"/>
        <v>1</v>
      </c>
      <c r="AM380" s="176" t="e">
        <f t="shared" si="356"/>
        <v>#DIV/0!</v>
      </c>
      <c r="AN380" s="176" t="e">
        <f t="shared" si="357"/>
        <v>#DIV/0!</v>
      </c>
      <c r="AO380" s="176" t="e">
        <f t="shared" si="358"/>
        <v>#DIV/0!</v>
      </c>
      <c r="AP380" s="176" t="e">
        <f t="shared" si="359"/>
        <v>#DIV/0!</v>
      </c>
      <c r="AQ380" s="176" t="e">
        <f t="shared" si="360"/>
        <v>#DIV/0!</v>
      </c>
      <c r="AR380" s="176" t="e">
        <f t="shared" si="361"/>
        <v>#DIV/0!</v>
      </c>
      <c r="AS380" s="176" t="e">
        <f t="shared" si="362"/>
        <v>#DIV/0!</v>
      </c>
      <c r="AT380" s="176" t="e">
        <f t="shared" si="363"/>
        <v>#DIV/0!</v>
      </c>
      <c r="AU380" s="176">
        <f t="shared" si="364"/>
        <v>0.98636363636363633</v>
      </c>
      <c r="AV380" s="176">
        <f t="shared" si="365"/>
        <v>0.98636363636363633</v>
      </c>
    </row>
    <row r="381" spans="1:48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366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61">
        <v>0</v>
      </c>
      <c r="X381" s="21"/>
      <c r="Y381" s="21"/>
      <c r="Z381" s="21"/>
      <c r="AA381" s="21"/>
      <c r="AB381" s="21"/>
      <c r="AC381" s="21"/>
      <c r="AD381" s="21"/>
      <c r="AE381" s="21"/>
      <c r="AF381" s="261">
        <f t="shared" si="347"/>
        <v>0</v>
      </c>
      <c r="AG381" s="21">
        <f t="shared" si="348"/>
        <v>0</v>
      </c>
      <c r="AI381" s="176">
        <f t="shared" si="367"/>
        <v>1</v>
      </c>
      <c r="AJ381" s="176" t="e">
        <f t="shared" si="353"/>
        <v>#DIV/0!</v>
      </c>
      <c r="AK381" s="176" t="e">
        <f t="shared" si="354"/>
        <v>#DIV/0!</v>
      </c>
      <c r="AL381" s="176" t="e">
        <f t="shared" si="355"/>
        <v>#DIV/0!</v>
      </c>
      <c r="AM381" s="176" t="e">
        <f t="shared" si="356"/>
        <v>#DIV/0!</v>
      </c>
      <c r="AN381" s="176" t="e">
        <f t="shared" si="357"/>
        <v>#DIV/0!</v>
      </c>
      <c r="AO381" s="176" t="e">
        <f t="shared" si="358"/>
        <v>#DIV/0!</v>
      </c>
      <c r="AP381" s="176" t="e">
        <f t="shared" si="359"/>
        <v>#DIV/0!</v>
      </c>
      <c r="AQ381" s="176" t="e">
        <f t="shared" si="360"/>
        <v>#DIV/0!</v>
      </c>
      <c r="AR381" s="176" t="e">
        <f t="shared" si="361"/>
        <v>#DIV/0!</v>
      </c>
      <c r="AS381" s="176" t="e">
        <f t="shared" si="362"/>
        <v>#DIV/0!</v>
      </c>
      <c r="AT381" s="176" t="e">
        <f t="shared" si="363"/>
        <v>#DIV/0!</v>
      </c>
      <c r="AU381" s="176">
        <f t="shared" si="364"/>
        <v>1</v>
      </c>
      <c r="AV381" s="176">
        <f t="shared" si="365"/>
        <v>1</v>
      </c>
    </row>
    <row r="382" spans="1:48" x14ac:dyDescent="0.25">
      <c r="A382" s="7">
        <v>30201010112</v>
      </c>
      <c r="B382" s="8" t="s">
        <v>612</v>
      </c>
      <c r="C382" s="9">
        <f t="shared" ref="C382:N382" si="404">+C383+C384</f>
        <v>5000000</v>
      </c>
      <c r="D382" s="9">
        <f t="shared" si="404"/>
        <v>0</v>
      </c>
      <c r="E382" s="9">
        <f t="shared" si="404"/>
        <v>0</v>
      </c>
      <c r="F382" s="9">
        <f t="shared" si="404"/>
        <v>0</v>
      </c>
      <c r="G382" s="9">
        <f t="shared" si="404"/>
        <v>0</v>
      </c>
      <c r="H382" s="9">
        <f t="shared" si="404"/>
        <v>0</v>
      </c>
      <c r="I382" s="9">
        <f t="shared" si="404"/>
        <v>0</v>
      </c>
      <c r="J382" s="9">
        <f t="shared" si="404"/>
        <v>0</v>
      </c>
      <c r="K382" s="9">
        <f t="shared" si="404"/>
        <v>15000000</v>
      </c>
      <c r="L382" s="9">
        <f t="shared" si="404"/>
        <v>0</v>
      </c>
      <c r="M382" s="9">
        <f t="shared" si="404"/>
        <v>0</v>
      </c>
      <c r="N382" s="9">
        <f t="shared" si="404"/>
        <v>0</v>
      </c>
      <c r="O382" s="9">
        <f t="shared" si="366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f t="shared" ref="W382" si="405">+W383+W384</f>
        <v>0</v>
      </c>
      <c r="X382" s="9"/>
      <c r="Y382" s="9"/>
      <c r="Z382" s="9"/>
      <c r="AA382" s="9"/>
      <c r="AB382" s="9"/>
      <c r="AC382" s="9"/>
      <c r="AD382" s="9"/>
      <c r="AE382" s="9"/>
      <c r="AF382" s="9">
        <f t="shared" si="347"/>
        <v>1500000</v>
      </c>
      <c r="AG382" s="9">
        <f t="shared" si="348"/>
        <v>1500000</v>
      </c>
      <c r="AI382" s="175">
        <f t="shared" si="367"/>
        <v>0.7</v>
      </c>
      <c r="AJ382" s="175" t="e">
        <f t="shared" si="353"/>
        <v>#DIV/0!</v>
      </c>
      <c r="AK382" s="175" t="e">
        <f t="shared" si="354"/>
        <v>#DIV/0!</v>
      </c>
      <c r="AL382" s="175" t="e">
        <f t="shared" si="355"/>
        <v>#DIV/0!</v>
      </c>
      <c r="AM382" s="175" t="e">
        <f t="shared" si="356"/>
        <v>#DIV/0!</v>
      </c>
      <c r="AN382" s="175" t="e">
        <f t="shared" si="357"/>
        <v>#DIV/0!</v>
      </c>
      <c r="AO382" s="175" t="e">
        <f t="shared" si="358"/>
        <v>#DIV/0!</v>
      </c>
      <c r="AP382" s="175" t="e">
        <f t="shared" si="359"/>
        <v>#DIV/0!</v>
      </c>
      <c r="AQ382" s="175">
        <f t="shared" si="360"/>
        <v>1</v>
      </c>
      <c r="AR382" s="175" t="e">
        <f t="shared" si="361"/>
        <v>#DIV/0!</v>
      </c>
      <c r="AS382" s="175" t="e">
        <f t="shared" si="362"/>
        <v>#DIV/0!</v>
      </c>
      <c r="AT382" s="175" t="e">
        <f t="shared" si="363"/>
        <v>#DIV/0!</v>
      </c>
      <c r="AU382" s="175">
        <f t="shared" si="364"/>
        <v>0.7</v>
      </c>
      <c r="AV382" s="175">
        <f t="shared" si="365"/>
        <v>0.92500000000000004</v>
      </c>
    </row>
    <row r="383" spans="1:48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366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61">
        <v>0</v>
      </c>
      <c r="X383" s="21"/>
      <c r="Y383" s="21"/>
      <c r="Z383" s="21"/>
      <c r="AA383" s="21"/>
      <c r="AB383" s="21"/>
      <c r="AC383" s="21"/>
      <c r="AD383" s="21"/>
      <c r="AE383" s="21"/>
      <c r="AF383" s="261">
        <f t="shared" si="347"/>
        <v>46366228</v>
      </c>
      <c r="AG383" s="21">
        <f t="shared" si="348"/>
        <v>46366228</v>
      </c>
      <c r="AI383" s="176" t="e">
        <f t="shared" si="367"/>
        <v>#DIV/0!</v>
      </c>
      <c r="AJ383" s="176" t="e">
        <f t="shared" si="353"/>
        <v>#DIV/0!</v>
      </c>
      <c r="AK383" s="176" t="e">
        <f t="shared" si="354"/>
        <v>#DIV/0!</v>
      </c>
      <c r="AL383" s="176" t="e">
        <f t="shared" si="355"/>
        <v>#DIV/0!</v>
      </c>
      <c r="AM383" s="176" t="e">
        <f t="shared" si="356"/>
        <v>#DIV/0!</v>
      </c>
      <c r="AN383" s="176" t="e">
        <f t="shared" si="357"/>
        <v>#DIV/0!</v>
      </c>
      <c r="AO383" s="176" t="e">
        <f t="shared" si="358"/>
        <v>#DIV/0!</v>
      </c>
      <c r="AP383" s="176" t="e">
        <f t="shared" si="359"/>
        <v>#DIV/0!</v>
      </c>
      <c r="AQ383" s="176">
        <f t="shared" si="360"/>
        <v>1</v>
      </c>
      <c r="AR383" s="176" t="e">
        <f t="shared" si="361"/>
        <v>#DIV/0!</v>
      </c>
      <c r="AS383" s="176" t="e">
        <f t="shared" si="362"/>
        <v>#DIV/0!</v>
      </c>
      <c r="AT383" s="176" t="e">
        <f t="shared" si="363"/>
        <v>#DIV/0!</v>
      </c>
      <c r="AU383" s="176" t="e">
        <f t="shared" si="364"/>
        <v>#DIV/0!</v>
      </c>
      <c r="AV383" s="176">
        <f t="shared" si="365"/>
        <v>-2.0910818666666668</v>
      </c>
    </row>
    <row r="384" spans="1:48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366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61">
        <v>0</v>
      </c>
      <c r="X384" s="21"/>
      <c r="Y384" s="21"/>
      <c r="Z384" s="21"/>
      <c r="AA384" s="21"/>
      <c r="AB384" s="21"/>
      <c r="AC384" s="21"/>
      <c r="AD384" s="21"/>
      <c r="AE384" s="21"/>
      <c r="AF384" s="261">
        <f t="shared" si="347"/>
        <v>19440000</v>
      </c>
      <c r="AG384" s="21">
        <f t="shared" si="348"/>
        <v>19440000</v>
      </c>
      <c r="AI384" s="176">
        <f t="shared" si="367"/>
        <v>0.7</v>
      </c>
      <c r="AJ384" s="176" t="e">
        <f t="shared" si="353"/>
        <v>#DIV/0!</v>
      </c>
      <c r="AK384" s="176" t="e">
        <f t="shared" si="354"/>
        <v>#DIV/0!</v>
      </c>
      <c r="AL384" s="176" t="e">
        <f t="shared" si="355"/>
        <v>#DIV/0!</v>
      </c>
      <c r="AM384" s="176" t="e">
        <f t="shared" si="356"/>
        <v>#DIV/0!</v>
      </c>
      <c r="AN384" s="176" t="e">
        <f t="shared" si="357"/>
        <v>#DIV/0!</v>
      </c>
      <c r="AO384" s="176" t="e">
        <f t="shared" si="358"/>
        <v>#DIV/0!</v>
      </c>
      <c r="AP384" s="176" t="e">
        <f t="shared" si="359"/>
        <v>#DIV/0!</v>
      </c>
      <c r="AQ384" s="176" t="e">
        <f t="shared" si="360"/>
        <v>#DIV/0!</v>
      </c>
      <c r="AR384" s="176" t="e">
        <f t="shared" si="361"/>
        <v>#DIV/0!</v>
      </c>
      <c r="AS384" s="176" t="e">
        <f t="shared" si="362"/>
        <v>#DIV/0!</v>
      </c>
      <c r="AT384" s="176" t="e">
        <f t="shared" si="363"/>
        <v>#DIV/0!</v>
      </c>
      <c r="AU384" s="176">
        <f t="shared" si="364"/>
        <v>-2.8879999999999999</v>
      </c>
      <c r="AV384" s="176">
        <f t="shared" si="365"/>
        <v>-2.8879999999999999</v>
      </c>
    </row>
    <row r="385" spans="1:48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366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61">
        <v>44539886</v>
      </c>
      <c r="X385" s="21"/>
      <c r="Y385" s="21"/>
      <c r="Z385" s="21"/>
      <c r="AA385" s="21"/>
      <c r="AB385" s="21"/>
      <c r="AC385" s="21"/>
      <c r="AD385" s="21"/>
      <c r="AE385" s="21"/>
      <c r="AF385" s="261">
        <f t="shared" si="347"/>
        <v>273892838</v>
      </c>
      <c r="AG385" s="21">
        <f t="shared" si="348"/>
        <v>273892838</v>
      </c>
      <c r="AI385" s="176">
        <f t="shared" si="367"/>
        <v>0.17341897599999995</v>
      </c>
      <c r="AJ385" s="176">
        <f t="shared" si="353"/>
        <v>0.56943999999999995</v>
      </c>
      <c r="AK385" s="176">
        <f t="shared" si="354"/>
        <v>-3.2473298240000004</v>
      </c>
      <c r="AL385" s="176">
        <f t="shared" si="355"/>
        <v>-6.895726400000006E-2</v>
      </c>
      <c r="AM385" s="176">
        <f t="shared" si="356"/>
        <v>1</v>
      </c>
      <c r="AN385" s="176">
        <f t="shared" si="357"/>
        <v>1</v>
      </c>
      <c r="AO385" s="176">
        <f t="shared" si="358"/>
        <v>1</v>
      </c>
      <c r="AP385" s="176">
        <f t="shared" si="359"/>
        <v>1</v>
      </c>
      <c r="AQ385" s="176">
        <f t="shared" si="360"/>
        <v>1</v>
      </c>
      <c r="AR385" s="176">
        <f t="shared" si="361"/>
        <v>1</v>
      </c>
      <c r="AS385" s="176">
        <f t="shared" si="362"/>
        <v>1</v>
      </c>
      <c r="AT385" s="176">
        <f t="shared" si="363"/>
        <v>1</v>
      </c>
      <c r="AU385" s="176">
        <f t="shared" si="364"/>
        <v>-0.64335702800000005</v>
      </c>
      <c r="AV385" s="176">
        <f t="shared" si="365"/>
        <v>0.45221432400000006</v>
      </c>
    </row>
    <row r="386" spans="1:48" x14ac:dyDescent="0.25">
      <c r="A386" s="7">
        <v>3020102</v>
      </c>
      <c r="B386" s="8" t="s">
        <v>616</v>
      </c>
      <c r="C386" s="9">
        <f t="shared" ref="C386:N386" si="406">+C387+C390+C393</f>
        <v>81500000</v>
      </c>
      <c r="D386" s="9">
        <f t="shared" si="406"/>
        <v>71500000</v>
      </c>
      <c r="E386" s="9">
        <f t="shared" si="406"/>
        <v>71500000</v>
      </c>
      <c r="F386" s="9">
        <f t="shared" si="406"/>
        <v>71500000</v>
      </c>
      <c r="G386" s="9">
        <f t="shared" si="406"/>
        <v>9000000</v>
      </c>
      <c r="H386" s="9">
        <f t="shared" si="406"/>
        <v>0</v>
      </c>
      <c r="I386" s="9">
        <f t="shared" si="406"/>
        <v>0</v>
      </c>
      <c r="J386" s="9">
        <f t="shared" si="406"/>
        <v>0</v>
      </c>
      <c r="K386" s="9">
        <f t="shared" si="406"/>
        <v>35000000</v>
      </c>
      <c r="L386" s="9">
        <f t="shared" si="406"/>
        <v>0</v>
      </c>
      <c r="M386" s="9">
        <f t="shared" si="406"/>
        <v>0</v>
      </c>
      <c r="N386" s="9">
        <f t="shared" si="406"/>
        <v>0</v>
      </c>
      <c r="O386" s="9">
        <f t="shared" si="366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f t="shared" ref="W386" si="407">+W387+W390+W393</f>
        <v>68667800</v>
      </c>
      <c r="X386" s="9"/>
      <c r="Y386" s="9"/>
      <c r="Z386" s="9"/>
      <c r="AA386" s="9"/>
      <c r="AB386" s="9"/>
      <c r="AC386" s="9"/>
      <c r="AD386" s="9"/>
      <c r="AE386" s="9"/>
      <c r="AF386" s="9">
        <f t="shared" si="347"/>
        <v>128637800</v>
      </c>
      <c r="AG386" s="9">
        <f t="shared" si="348"/>
        <v>128637800</v>
      </c>
      <c r="AI386" s="175">
        <f t="shared" si="367"/>
        <v>1</v>
      </c>
      <c r="AJ386" s="175">
        <f t="shared" si="353"/>
        <v>1</v>
      </c>
      <c r="AK386" s="175">
        <f t="shared" si="354"/>
        <v>0.16125874125874126</v>
      </c>
      <c r="AL386" s="175">
        <f t="shared" si="355"/>
        <v>3.9611188811188809E-2</v>
      </c>
      <c r="AM386" s="175">
        <f t="shared" si="356"/>
        <v>1</v>
      </c>
      <c r="AN386" s="175" t="e">
        <f t="shared" si="357"/>
        <v>#DIV/0!</v>
      </c>
      <c r="AO386" s="175" t="e">
        <f t="shared" si="358"/>
        <v>#DIV/0!</v>
      </c>
      <c r="AP386" s="175" t="e">
        <f t="shared" si="359"/>
        <v>#DIV/0!</v>
      </c>
      <c r="AQ386" s="175">
        <f t="shared" si="360"/>
        <v>1</v>
      </c>
      <c r="AR386" s="175" t="e">
        <f t="shared" si="361"/>
        <v>#DIV/0!</v>
      </c>
      <c r="AS386" s="175" t="e">
        <f t="shared" si="362"/>
        <v>#DIV/0!</v>
      </c>
      <c r="AT386" s="175" t="e">
        <f t="shared" si="363"/>
        <v>#DIV/0!</v>
      </c>
      <c r="AU386" s="175">
        <f t="shared" si="364"/>
        <v>0.5654128378378378</v>
      </c>
      <c r="AV386" s="175">
        <f t="shared" si="365"/>
        <v>0.62165352941176466</v>
      </c>
    </row>
    <row r="387" spans="1:48" x14ac:dyDescent="0.25">
      <c r="A387" s="7">
        <v>302010201</v>
      </c>
      <c r="B387" s="8" t="s">
        <v>617</v>
      </c>
      <c r="C387" s="9">
        <f t="shared" ref="C387:N387" si="408">+C388+C389</f>
        <v>62500000</v>
      </c>
      <c r="D387" s="9">
        <f t="shared" si="408"/>
        <v>62500000</v>
      </c>
      <c r="E387" s="9">
        <f t="shared" si="408"/>
        <v>62500000</v>
      </c>
      <c r="F387" s="9">
        <f t="shared" si="408"/>
        <v>62500000</v>
      </c>
      <c r="G387" s="9">
        <f t="shared" si="408"/>
        <v>0</v>
      </c>
      <c r="H387" s="9">
        <f t="shared" si="408"/>
        <v>0</v>
      </c>
      <c r="I387" s="9">
        <f t="shared" si="408"/>
        <v>0</v>
      </c>
      <c r="J387" s="9">
        <f t="shared" si="408"/>
        <v>0</v>
      </c>
      <c r="K387" s="9">
        <f t="shared" si="408"/>
        <v>30000000</v>
      </c>
      <c r="L387" s="9">
        <f t="shared" si="408"/>
        <v>0</v>
      </c>
      <c r="M387" s="9">
        <f t="shared" si="408"/>
        <v>0</v>
      </c>
      <c r="N387" s="9">
        <f t="shared" si="408"/>
        <v>0</v>
      </c>
      <c r="O387" s="9">
        <f t="shared" si="366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f t="shared" ref="W387" si="409">+W388+W389</f>
        <v>68667800</v>
      </c>
      <c r="X387" s="9"/>
      <c r="Y387" s="9"/>
      <c r="Z387" s="9"/>
      <c r="AA387" s="9"/>
      <c r="AB387" s="9"/>
      <c r="AC387" s="9"/>
      <c r="AD387" s="9"/>
      <c r="AE387" s="9"/>
      <c r="AF387" s="9">
        <f t="shared" si="347"/>
        <v>142109640</v>
      </c>
      <c r="AG387" s="9">
        <f t="shared" si="348"/>
        <v>142109640</v>
      </c>
      <c r="AI387" s="175">
        <f t="shared" si="367"/>
        <v>1</v>
      </c>
      <c r="AJ387" s="175">
        <f t="shared" si="353"/>
        <v>0.71296000000000004</v>
      </c>
      <c r="AK387" s="175">
        <f t="shared" si="354"/>
        <v>0.11197056</v>
      </c>
      <c r="AL387" s="175">
        <f t="shared" si="355"/>
        <v>-9.8684800000000003E-2</v>
      </c>
      <c r="AM387" s="175" t="e">
        <f t="shared" si="356"/>
        <v>#DIV/0!</v>
      </c>
      <c r="AN387" s="175" t="e">
        <f t="shared" si="357"/>
        <v>#DIV/0!</v>
      </c>
      <c r="AO387" s="175" t="e">
        <f t="shared" si="358"/>
        <v>#DIV/0!</v>
      </c>
      <c r="AP387" s="175" t="e">
        <f t="shared" si="359"/>
        <v>#DIV/0!</v>
      </c>
      <c r="AQ387" s="175">
        <f t="shared" si="360"/>
        <v>1</v>
      </c>
      <c r="AR387" s="175" t="e">
        <f t="shared" si="361"/>
        <v>#DIV/0!</v>
      </c>
      <c r="AS387" s="175" t="e">
        <f t="shared" si="362"/>
        <v>#DIV/0!</v>
      </c>
      <c r="AT387" s="175" t="e">
        <f t="shared" si="363"/>
        <v>#DIV/0!</v>
      </c>
      <c r="AU387" s="175">
        <f t="shared" si="364"/>
        <v>0.43156144000000002</v>
      </c>
      <c r="AV387" s="175">
        <f t="shared" si="365"/>
        <v>0.49246557142857145</v>
      </c>
    </row>
    <row r="388" spans="1:48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366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61">
        <v>0</v>
      </c>
      <c r="X388" s="21"/>
      <c r="Y388" s="21"/>
      <c r="Z388" s="21"/>
      <c r="AA388" s="21"/>
      <c r="AB388" s="21"/>
      <c r="AC388" s="21"/>
      <c r="AD388" s="21"/>
      <c r="AE388" s="21"/>
      <c r="AF388" s="261">
        <f t="shared" si="347"/>
        <v>0</v>
      </c>
      <c r="AG388" s="21">
        <f t="shared" si="348"/>
        <v>0</v>
      </c>
      <c r="AI388" s="176" t="e">
        <f t="shared" si="367"/>
        <v>#DIV/0!</v>
      </c>
      <c r="AJ388" s="176" t="e">
        <f t="shared" si="353"/>
        <v>#DIV/0!</v>
      </c>
      <c r="AK388" s="176" t="e">
        <f t="shared" si="354"/>
        <v>#DIV/0!</v>
      </c>
      <c r="AL388" s="176" t="e">
        <f t="shared" si="355"/>
        <v>#DIV/0!</v>
      </c>
      <c r="AM388" s="176" t="e">
        <f t="shared" si="356"/>
        <v>#DIV/0!</v>
      </c>
      <c r="AN388" s="176" t="e">
        <f t="shared" si="357"/>
        <v>#DIV/0!</v>
      </c>
      <c r="AO388" s="176" t="e">
        <f t="shared" si="358"/>
        <v>#DIV/0!</v>
      </c>
      <c r="AP388" s="176" t="e">
        <f t="shared" si="359"/>
        <v>#DIV/0!</v>
      </c>
      <c r="AQ388" s="176">
        <f t="shared" si="360"/>
        <v>1</v>
      </c>
      <c r="AR388" s="176" t="e">
        <f t="shared" si="361"/>
        <v>#DIV/0!</v>
      </c>
      <c r="AS388" s="176" t="e">
        <f t="shared" si="362"/>
        <v>#DIV/0!</v>
      </c>
      <c r="AT388" s="176" t="e">
        <f t="shared" si="363"/>
        <v>#DIV/0!</v>
      </c>
      <c r="AU388" s="176" t="e">
        <f t="shared" si="364"/>
        <v>#DIV/0!</v>
      </c>
      <c r="AV388" s="176">
        <f t="shared" si="365"/>
        <v>1</v>
      </c>
    </row>
    <row r="389" spans="1:48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366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61">
        <v>68667800</v>
      </c>
      <c r="X389" s="21"/>
      <c r="Y389" s="21"/>
      <c r="Z389" s="21"/>
      <c r="AA389" s="21"/>
      <c r="AB389" s="21"/>
      <c r="AC389" s="21"/>
      <c r="AD389" s="21"/>
      <c r="AE389" s="21"/>
      <c r="AF389" s="261">
        <f t="shared" si="347"/>
        <v>124169640</v>
      </c>
      <c r="AG389" s="21">
        <f t="shared" si="348"/>
        <v>124169640</v>
      </c>
      <c r="AI389" s="176">
        <f t="shared" si="367"/>
        <v>1</v>
      </c>
      <c r="AJ389" s="176">
        <f t="shared" si="353"/>
        <v>1</v>
      </c>
      <c r="AK389" s="176">
        <f t="shared" si="354"/>
        <v>0.11197056</v>
      </c>
      <c r="AL389" s="176">
        <f t="shared" si="355"/>
        <v>-9.8684800000000003E-2</v>
      </c>
      <c r="AM389" s="176" t="e">
        <f t="shared" si="356"/>
        <v>#DIV/0!</v>
      </c>
      <c r="AN389" s="176" t="e">
        <f t="shared" si="357"/>
        <v>#DIV/0!</v>
      </c>
      <c r="AO389" s="176" t="e">
        <f t="shared" si="358"/>
        <v>#DIV/0!</v>
      </c>
      <c r="AP389" s="176" t="e">
        <f t="shared" si="359"/>
        <v>#DIV/0!</v>
      </c>
      <c r="AQ389" s="176" t="e">
        <f t="shared" si="360"/>
        <v>#DIV/0!</v>
      </c>
      <c r="AR389" s="176" t="e">
        <f t="shared" si="361"/>
        <v>#DIV/0!</v>
      </c>
      <c r="AS389" s="176" t="e">
        <f t="shared" si="362"/>
        <v>#DIV/0!</v>
      </c>
      <c r="AT389" s="176" t="e">
        <f t="shared" si="363"/>
        <v>#DIV/0!</v>
      </c>
      <c r="AU389" s="176">
        <f t="shared" si="364"/>
        <v>0.50332144000000001</v>
      </c>
      <c r="AV389" s="176">
        <f t="shared" si="365"/>
        <v>0.50332144000000001</v>
      </c>
    </row>
    <row r="390" spans="1:48" x14ac:dyDescent="0.25">
      <c r="A390" s="7">
        <v>302010202</v>
      </c>
      <c r="B390" s="8" t="s">
        <v>620</v>
      </c>
      <c r="C390" s="9">
        <f t="shared" ref="C390:N390" si="410">+C391+C392</f>
        <v>10000000</v>
      </c>
      <c r="D390" s="9">
        <f t="shared" si="410"/>
        <v>0</v>
      </c>
      <c r="E390" s="9">
        <f t="shared" si="410"/>
        <v>0</v>
      </c>
      <c r="F390" s="9">
        <f t="shared" si="410"/>
        <v>0</v>
      </c>
      <c r="G390" s="9">
        <f t="shared" si="410"/>
        <v>0</v>
      </c>
      <c r="H390" s="9">
        <f t="shared" si="410"/>
        <v>0</v>
      </c>
      <c r="I390" s="9">
        <f t="shared" si="410"/>
        <v>0</v>
      </c>
      <c r="J390" s="9">
        <f t="shared" si="410"/>
        <v>0</v>
      </c>
      <c r="K390" s="9">
        <f t="shared" si="410"/>
        <v>5000000</v>
      </c>
      <c r="L390" s="9">
        <f t="shared" si="410"/>
        <v>0</v>
      </c>
      <c r="M390" s="9">
        <f t="shared" si="410"/>
        <v>0</v>
      </c>
      <c r="N390" s="9">
        <f t="shared" si="410"/>
        <v>0</v>
      </c>
      <c r="O390" s="9">
        <f t="shared" si="366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f t="shared" ref="W390" si="411">+W391+W392</f>
        <v>0</v>
      </c>
      <c r="X390" s="9"/>
      <c r="Y390" s="9"/>
      <c r="Z390" s="9"/>
      <c r="AA390" s="9"/>
      <c r="AB390" s="9"/>
      <c r="AC390" s="9"/>
      <c r="AD390" s="9"/>
      <c r="AE390" s="9"/>
      <c r="AF390" s="9">
        <f t="shared" ref="AF390:AF403" si="412">+T390+U390+V390+W390</f>
        <v>4468160</v>
      </c>
      <c r="AG390" s="9">
        <f t="shared" ref="AG390:AG404" si="413">+T390+U390+V390+W390</f>
        <v>4468160</v>
      </c>
      <c r="AI390" s="175">
        <f t="shared" si="367"/>
        <v>1</v>
      </c>
      <c r="AJ390" s="175" t="e">
        <f t="shared" si="353"/>
        <v>#DIV/0!</v>
      </c>
      <c r="AK390" s="175" t="e">
        <f t="shared" si="354"/>
        <v>#DIV/0!</v>
      </c>
      <c r="AL390" s="175" t="e">
        <f t="shared" si="355"/>
        <v>#DIV/0!</v>
      </c>
      <c r="AM390" s="175" t="e">
        <f t="shared" si="356"/>
        <v>#DIV/0!</v>
      </c>
      <c r="AN390" s="175" t="e">
        <f t="shared" si="357"/>
        <v>#DIV/0!</v>
      </c>
      <c r="AO390" s="175" t="e">
        <f t="shared" si="358"/>
        <v>#DIV/0!</v>
      </c>
      <c r="AP390" s="175" t="e">
        <f t="shared" si="359"/>
        <v>#DIV/0!</v>
      </c>
      <c r="AQ390" s="175">
        <f t="shared" si="360"/>
        <v>1</v>
      </c>
      <c r="AR390" s="175" t="e">
        <f t="shared" si="361"/>
        <v>#DIV/0!</v>
      </c>
      <c r="AS390" s="175" t="e">
        <f t="shared" si="362"/>
        <v>#DIV/0!</v>
      </c>
      <c r="AT390" s="175" t="e">
        <f t="shared" si="363"/>
        <v>#DIV/0!</v>
      </c>
      <c r="AU390" s="175">
        <f t="shared" si="364"/>
        <v>0.55318400000000001</v>
      </c>
      <c r="AV390" s="175">
        <f t="shared" si="365"/>
        <v>0.70212266666666667</v>
      </c>
    </row>
    <row r="391" spans="1:48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366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61">
        <v>0</v>
      </c>
      <c r="X391" s="21"/>
      <c r="Y391" s="21"/>
      <c r="Z391" s="21"/>
      <c r="AA391" s="21"/>
      <c r="AB391" s="21"/>
      <c r="AC391" s="21"/>
      <c r="AD391" s="21"/>
      <c r="AE391" s="21"/>
      <c r="AF391" s="261">
        <f t="shared" si="412"/>
        <v>0</v>
      </c>
      <c r="AG391" s="21">
        <f t="shared" si="413"/>
        <v>0</v>
      </c>
      <c r="AI391" s="176" t="e">
        <f t="shared" si="367"/>
        <v>#DIV/0!</v>
      </c>
      <c r="AJ391" s="176" t="e">
        <f t="shared" si="353"/>
        <v>#DIV/0!</v>
      </c>
      <c r="AK391" s="176" t="e">
        <f t="shared" si="354"/>
        <v>#DIV/0!</v>
      </c>
      <c r="AL391" s="176" t="e">
        <f t="shared" si="355"/>
        <v>#DIV/0!</v>
      </c>
      <c r="AM391" s="176" t="e">
        <f t="shared" si="356"/>
        <v>#DIV/0!</v>
      </c>
      <c r="AN391" s="176" t="e">
        <f t="shared" si="357"/>
        <v>#DIV/0!</v>
      </c>
      <c r="AO391" s="176" t="e">
        <f t="shared" si="358"/>
        <v>#DIV/0!</v>
      </c>
      <c r="AP391" s="176" t="e">
        <f t="shared" si="359"/>
        <v>#DIV/0!</v>
      </c>
      <c r="AQ391" s="176">
        <f t="shared" si="360"/>
        <v>1</v>
      </c>
      <c r="AR391" s="176" t="e">
        <f t="shared" si="361"/>
        <v>#DIV/0!</v>
      </c>
      <c r="AS391" s="176" t="e">
        <f t="shared" si="362"/>
        <v>#DIV/0!</v>
      </c>
      <c r="AT391" s="176" t="e">
        <f t="shared" si="363"/>
        <v>#DIV/0!</v>
      </c>
      <c r="AU391" s="176" t="e">
        <f t="shared" si="364"/>
        <v>#DIV/0!</v>
      </c>
      <c r="AV391" s="176">
        <f t="shared" si="365"/>
        <v>1</v>
      </c>
    </row>
    <row r="392" spans="1:48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366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61">
        <v>0</v>
      </c>
      <c r="X392" s="21"/>
      <c r="Y392" s="21"/>
      <c r="Z392" s="21"/>
      <c r="AA392" s="21"/>
      <c r="AB392" s="21"/>
      <c r="AC392" s="21"/>
      <c r="AD392" s="21"/>
      <c r="AE392" s="21"/>
      <c r="AF392" s="261">
        <f t="shared" si="412"/>
        <v>4468160</v>
      </c>
      <c r="AG392" s="21">
        <f t="shared" si="413"/>
        <v>4468160</v>
      </c>
      <c r="AI392" s="176">
        <f t="shared" si="367"/>
        <v>1</v>
      </c>
      <c r="AJ392" s="176" t="e">
        <f t="shared" si="353"/>
        <v>#DIV/0!</v>
      </c>
      <c r="AK392" s="176" t="e">
        <f t="shared" si="354"/>
        <v>#DIV/0!</v>
      </c>
      <c r="AL392" s="176" t="e">
        <f t="shared" si="355"/>
        <v>#DIV/0!</v>
      </c>
      <c r="AM392" s="176" t="e">
        <f t="shared" si="356"/>
        <v>#DIV/0!</v>
      </c>
      <c r="AN392" s="176" t="e">
        <f t="shared" si="357"/>
        <v>#DIV/0!</v>
      </c>
      <c r="AO392" s="176" t="e">
        <f t="shared" si="358"/>
        <v>#DIV/0!</v>
      </c>
      <c r="AP392" s="176" t="e">
        <f t="shared" si="359"/>
        <v>#DIV/0!</v>
      </c>
      <c r="AQ392" s="176" t="e">
        <f t="shared" si="360"/>
        <v>#DIV/0!</v>
      </c>
      <c r="AR392" s="176" t="e">
        <f t="shared" si="361"/>
        <v>#DIV/0!</v>
      </c>
      <c r="AS392" s="176" t="e">
        <f t="shared" si="362"/>
        <v>#DIV/0!</v>
      </c>
      <c r="AT392" s="176" t="e">
        <f t="shared" si="363"/>
        <v>#DIV/0!</v>
      </c>
      <c r="AU392" s="176">
        <f t="shared" si="364"/>
        <v>0.55318400000000001</v>
      </c>
      <c r="AV392" s="176">
        <f t="shared" si="365"/>
        <v>0.55318400000000001</v>
      </c>
    </row>
    <row r="393" spans="1:48" x14ac:dyDescent="0.25">
      <c r="A393" s="7">
        <v>302010203</v>
      </c>
      <c r="B393" s="8" t="s">
        <v>623</v>
      </c>
      <c r="C393" s="9">
        <f t="shared" ref="C393:N393" si="414">+C394+C395</f>
        <v>9000000</v>
      </c>
      <c r="D393" s="9">
        <f t="shared" si="414"/>
        <v>9000000</v>
      </c>
      <c r="E393" s="9">
        <f t="shared" si="414"/>
        <v>9000000</v>
      </c>
      <c r="F393" s="9">
        <f t="shared" si="414"/>
        <v>9000000</v>
      </c>
      <c r="G393" s="9">
        <f t="shared" si="414"/>
        <v>9000000</v>
      </c>
      <c r="H393" s="9">
        <f t="shared" si="414"/>
        <v>0</v>
      </c>
      <c r="I393" s="9">
        <f t="shared" si="414"/>
        <v>0</v>
      </c>
      <c r="J393" s="9">
        <f t="shared" si="414"/>
        <v>0</v>
      </c>
      <c r="K393" s="9">
        <f t="shared" si="414"/>
        <v>0</v>
      </c>
      <c r="L393" s="9">
        <f t="shared" si="414"/>
        <v>0</v>
      </c>
      <c r="M393" s="9">
        <f t="shared" si="414"/>
        <v>0</v>
      </c>
      <c r="N393" s="9">
        <f t="shared" si="414"/>
        <v>0</v>
      </c>
      <c r="O393" s="9">
        <f t="shared" si="366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f t="shared" ref="W393" si="415">+W394+W395</f>
        <v>0</v>
      </c>
      <c r="X393" s="9"/>
      <c r="Y393" s="9"/>
      <c r="Z393" s="9"/>
      <c r="AA393" s="9"/>
      <c r="AB393" s="9"/>
      <c r="AC393" s="9"/>
      <c r="AD393" s="9"/>
      <c r="AE393" s="9"/>
      <c r="AF393" s="9">
        <f t="shared" si="412"/>
        <v>0</v>
      </c>
      <c r="AG393" s="9">
        <f t="shared" si="413"/>
        <v>0</v>
      </c>
      <c r="AI393" s="175">
        <f t="shared" si="367"/>
        <v>1</v>
      </c>
      <c r="AJ393" s="175">
        <f t="shared" si="353"/>
        <v>1</v>
      </c>
      <c r="AK393" s="175">
        <f t="shared" si="354"/>
        <v>1</v>
      </c>
      <c r="AL393" s="175">
        <f t="shared" si="355"/>
        <v>1</v>
      </c>
      <c r="AM393" s="175">
        <f t="shared" si="356"/>
        <v>1</v>
      </c>
      <c r="AN393" s="175" t="e">
        <f t="shared" si="357"/>
        <v>#DIV/0!</v>
      </c>
      <c r="AO393" s="175" t="e">
        <f t="shared" si="358"/>
        <v>#DIV/0!</v>
      </c>
      <c r="AP393" s="175" t="e">
        <f t="shared" si="359"/>
        <v>#DIV/0!</v>
      </c>
      <c r="AQ393" s="175" t="e">
        <f t="shared" si="360"/>
        <v>#DIV/0!</v>
      </c>
      <c r="AR393" s="175" t="e">
        <f t="shared" si="361"/>
        <v>#DIV/0!</v>
      </c>
      <c r="AS393" s="175" t="e">
        <f t="shared" si="362"/>
        <v>#DIV/0!</v>
      </c>
      <c r="AT393" s="175" t="e">
        <f t="shared" si="363"/>
        <v>#DIV/0!</v>
      </c>
      <c r="AU393" s="175">
        <f t="shared" si="364"/>
        <v>1</v>
      </c>
      <c r="AV393" s="175">
        <f t="shared" si="365"/>
        <v>1</v>
      </c>
    </row>
    <row r="394" spans="1:48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366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61">
        <v>0</v>
      </c>
      <c r="X394" s="21"/>
      <c r="Y394" s="21"/>
      <c r="Z394" s="21"/>
      <c r="AA394" s="21"/>
      <c r="AB394" s="21"/>
      <c r="AC394" s="21"/>
      <c r="AD394" s="21"/>
      <c r="AE394" s="21"/>
      <c r="AF394" s="261">
        <f t="shared" si="412"/>
        <v>0</v>
      </c>
      <c r="AG394" s="21">
        <f t="shared" si="413"/>
        <v>0</v>
      </c>
      <c r="AI394" s="176">
        <f t="shared" si="367"/>
        <v>1</v>
      </c>
      <c r="AJ394" s="176">
        <f t="shared" ref="AJ394:AJ458" si="416">(D394-U394)/D394</f>
        <v>1</v>
      </c>
      <c r="AK394" s="176">
        <f t="shared" ref="AK394:AK458" si="417">(E394-V394)/E394</f>
        <v>1</v>
      </c>
      <c r="AL394" s="176">
        <f t="shared" ref="AL394:AL404" si="418">(F394-W394)/F394</f>
        <v>1</v>
      </c>
      <c r="AM394" s="176">
        <f t="shared" ref="AM394:AM404" si="419">(G394-X394)/G394</f>
        <v>1</v>
      </c>
      <c r="AN394" s="176" t="e">
        <f t="shared" ref="AN394:AN404" si="420">(H394-Y394)/H394</f>
        <v>#DIV/0!</v>
      </c>
      <c r="AO394" s="176" t="e">
        <f t="shared" ref="AO394:AO404" si="421">(I394-Z394)/I394</f>
        <v>#DIV/0!</v>
      </c>
      <c r="AP394" s="176" t="e">
        <f t="shared" ref="AP394:AP404" si="422">(J394-AA394)/J394</f>
        <v>#DIV/0!</v>
      </c>
      <c r="AQ394" s="176" t="e">
        <f t="shared" ref="AQ394:AQ404" si="423">(K394-AB394)/K394</f>
        <v>#DIV/0!</v>
      </c>
      <c r="AR394" s="176" t="e">
        <f t="shared" ref="AR394:AR404" si="424">(L394-AC394)/L394</f>
        <v>#DIV/0!</v>
      </c>
      <c r="AS394" s="176" t="e">
        <f t="shared" ref="AS394:AS404" si="425">(M394-AD394)/M394</f>
        <v>#DIV/0!</v>
      </c>
      <c r="AT394" s="176" t="e">
        <f t="shared" ref="AT394:AT404" si="426">(N394-AE394)/N394</f>
        <v>#DIV/0!</v>
      </c>
      <c r="AU394" s="176">
        <f t="shared" ref="AU394:AU404" si="427">(O394-AF394)/O394</f>
        <v>1</v>
      </c>
      <c r="AV394" s="176">
        <f t="shared" ref="AV394:AV458" si="428">(P394-AG394)/P394</f>
        <v>1</v>
      </c>
    </row>
    <row r="395" spans="1:48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429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61">
        <v>0</v>
      </c>
      <c r="X395" s="21"/>
      <c r="Y395" s="21"/>
      <c r="Z395" s="21"/>
      <c r="AA395" s="21"/>
      <c r="AB395" s="21"/>
      <c r="AC395" s="21"/>
      <c r="AD395" s="21"/>
      <c r="AE395" s="21"/>
      <c r="AF395" s="261">
        <f t="shared" si="412"/>
        <v>0</v>
      </c>
      <c r="AG395" s="21">
        <f t="shared" si="413"/>
        <v>0</v>
      </c>
      <c r="AI395" s="176">
        <f t="shared" ref="AI395:AI459" si="430">(C395-T395)/C395</f>
        <v>1</v>
      </c>
      <c r="AJ395" s="176">
        <f t="shared" si="416"/>
        <v>1</v>
      </c>
      <c r="AK395" s="176">
        <f t="shared" si="417"/>
        <v>1</v>
      </c>
      <c r="AL395" s="176">
        <f t="shared" si="418"/>
        <v>1</v>
      </c>
      <c r="AM395" s="176">
        <f t="shared" si="419"/>
        <v>1</v>
      </c>
      <c r="AN395" s="176" t="e">
        <f t="shared" si="420"/>
        <v>#DIV/0!</v>
      </c>
      <c r="AO395" s="176" t="e">
        <f t="shared" si="421"/>
        <v>#DIV/0!</v>
      </c>
      <c r="AP395" s="176" t="e">
        <f t="shared" si="422"/>
        <v>#DIV/0!</v>
      </c>
      <c r="AQ395" s="176" t="e">
        <f t="shared" si="423"/>
        <v>#DIV/0!</v>
      </c>
      <c r="AR395" s="176" t="e">
        <f t="shared" si="424"/>
        <v>#DIV/0!</v>
      </c>
      <c r="AS395" s="176" t="e">
        <f t="shared" si="425"/>
        <v>#DIV/0!</v>
      </c>
      <c r="AT395" s="176" t="e">
        <f t="shared" si="426"/>
        <v>#DIV/0!</v>
      </c>
      <c r="AU395" s="176">
        <f t="shared" si="427"/>
        <v>1</v>
      </c>
      <c r="AV395" s="176">
        <f t="shared" si="428"/>
        <v>1</v>
      </c>
    </row>
    <row r="396" spans="1:48" x14ac:dyDescent="0.25">
      <c r="A396" s="7">
        <v>3020103</v>
      </c>
      <c r="B396" s="8" t="s">
        <v>626</v>
      </c>
      <c r="C396" s="9">
        <f t="shared" ref="C396:N396" si="431">+C397+C400+C403+C404</f>
        <v>20000000</v>
      </c>
      <c r="D396" s="9">
        <f t="shared" si="431"/>
        <v>32500000</v>
      </c>
      <c r="E396" s="9">
        <f t="shared" si="431"/>
        <v>32500000</v>
      </c>
      <c r="F396" s="9">
        <f t="shared" si="431"/>
        <v>32500000</v>
      </c>
      <c r="G396" s="9">
        <f t="shared" si="431"/>
        <v>0</v>
      </c>
      <c r="H396" s="9">
        <f t="shared" si="431"/>
        <v>0</v>
      </c>
      <c r="I396" s="9">
        <f t="shared" si="431"/>
        <v>0</v>
      </c>
      <c r="J396" s="9">
        <f t="shared" si="431"/>
        <v>0</v>
      </c>
      <c r="K396" s="9">
        <f t="shared" si="431"/>
        <v>40000000</v>
      </c>
      <c r="L396" s="9">
        <f t="shared" si="431"/>
        <v>0</v>
      </c>
      <c r="M396" s="9">
        <f t="shared" si="431"/>
        <v>0</v>
      </c>
      <c r="N396" s="9">
        <f t="shared" si="431"/>
        <v>0</v>
      </c>
      <c r="O396" s="9">
        <f t="shared" si="429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f t="shared" ref="W396" si="432">+W397+W400+W403+W404</f>
        <v>7000000</v>
      </c>
      <c r="X396" s="9"/>
      <c r="Y396" s="9"/>
      <c r="Z396" s="9"/>
      <c r="AA396" s="9"/>
      <c r="AB396" s="9"/>
      <c r="AC396" s="9"/>
      <c r="AD396" s="9"/>
      <c r="AE396" s="9"/>
      <c r="AF396" s="9">
        <f t="shared" si="412"/>
        <v>43000000</v>
      </c>
      <c r="AG396" s="9">
        <f t="shared" si="413"/>
        <v>43000000</v>
      </c>
      <c r="AI396" s="175">
        <f t="shared" si="430"/>
        <v>-0.65</v>
      </c>
      <c r="AJ396" s="175">
        <f t="shared" si="416"/>
        <v>1</v>
      </c>
      <c r="AK396" s="175">
        <f t="shared" si="417"/>
        <v>0.90769230769230769</v>
      </c>
      <c r="AL396" s="175">
        <f t="shared" si="418"/>
        <v>0.7846153846153846</v>
      </c>
      <c r="AM396" s="175" t="e">
        <f t="shared" si="419"/>
        <v>#DIV/0!</v>
      </c>
      <c r="AN396" s="175" t="e">
        <f t="shared" si="420"/>
        <v>#DIV/0!</v>
      </c>
      <c r="AO396" s="175" t="e">
        <f t="shared" si="421"/>
        <v>#DIV/0!</v>
      </c>
      <c r="AP396" s="175" t="e">
        <f t="shared" si="422"/>
        <v>#DIV/0!</v>
      </c>
      <c r="AQ396" s="175">
        <f t="shared" si="423"/>
        <v>1</v>
      </c>
      <c r="AR396" s="175" t="e">
        <f t="shared" si="424"/>
        <v>#DIV/0!</v>
      </c>
      <c r="AS396" s="175" t="e">
        <f t="shared" si="425"/>
        <v>#DIV/0!</v>
      </c>
      <c r="AT396" s="175" t="e">
        <f t="shared" si="426"/>
        <v>#DIV/0!</v>
      </c>
      <c r="AU396" s="175">
        <f t="shared" si="427"/>
        <v>0.63404255319148939</v>
      </c>
      <c r="AV396" s="175">
        <f t="shared" si="428"/>
        <v>0.74705882352941178</v>
      </c>
    </row>
    <row r="397" spans="1:48" x14ac:dyDescent="0.25">
      <c r="A397" s="7">
        <v>302010301</v>
      </c>
      <c r="B397" s="8" t="s">
        <v>627</v>
      </c>
      <c r="C397" s="9">
        <f t="shared" ref="C397:N397" si="433">+C398+C399</f>
        <v>12500000</v>
      </c>
      <c r="D397" s="9">
        <f t="shared" si="433"/>
        <v>12500000</v>
      </c>
      <c r="E397" s="9">
        <f t="shared" si="433"/>
        <v>12500000</v>
      </c>
      <c r="F397" s="9">
        <f t="shared" si="433"/>
        <v>12500000</v>
      </c>
      <c r="G397" s="9">
        <f t="shared" si="433"/>
        <v>0</v>
      </c>
      <c r="H397" s="9">
        <f t="shared" si="433"/>
        <v>0</v>
      </c>
      <c r="I397" s="9">
        <f t="shared" si="433"/>
        <v>0</v>
      </c>
      <c r="J397" s="9">
        <f t="shared" si="433"/>
        <v>0</v>
      </c>
      <c r="K397" s="9">
        <f t="shared" si="433"/>
        <v>20000000</v>
      </c>
      <c r="L397" s="9">
        <f t="shared" si="433"/>
        <v>0</v>
      </c>
      <c r="M397" s="9">
        <f t="shared" si="433"/>
        <v>0</v>
      </c>
      <c r="N397" s="9">
        <f t="shared" si="433"/>
        <v>0</v>
      </c>
      <c r="O397" s="9">
        <f t="shared" si="429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f t="shared" ref="W397" si="434">+W398+W399</f>
        <v>2500000</v>
      </c>
      <c r="X397" s="9"/>
      <c r="Y397" s="9"/>
      <c r="Z397" s="9"/>
      <c r="AA397" s="9"/>
      <c r="AB397" s="9"/>
      <c r="AC397" s="9"/>
      <c r="AD397" s="9"/>
      <c r="AE397" s="9"/>
      <c r="AF397" s="9">
        <f t="shared" si="412"/>
        <v>20000000</v>
      </c>
      <c r="AG397" s="9">
        <f t="shared" si="413"/>
        <v>20000000</v>
      </c>
      <c r="AI397" s="175">
        <f t="shared" si="430"/>
        <v>-0.2</v>
      </c>
      <c r="AJ397" s="175">
        <f t="shared" si="416"/>
        <v>1</v>
      </c>
      <c r="AK397" s="175">
        <f t="shared" si="417"/>
        <v>0.8</v>
      </c>
      <c r="AL397" s="175">
        <f t="shared" si="418"/>
        <v>0.8</v>
      </c>
      <c r="AM397" s="175" t="e">
        <f t="shared" si="419"/>
        <v>#DIV/0!</v>
      </c>
      <c r="AN397" s="175" t="e">
        <f t="shared" si="420"/>
        <v>#DIV/0!</v>
      </c>
      <c r="AO397" s="175" t="e">
        <f t="shared" si="421"/>
        <v>#DIV/0!</v>
      </c>
      <c r="AP397" s="175" t="e">
        <f t="shared" si="422"/>
        <v>#DIV/0!</v>
      </c>
      <c r="AQ397" s="175">
        <f t="shared" si="423"/>
        <v>1</v>
      </c>
      <c r="AR397" s="175" t="e">
        <f t="shared" si="424"/>
        <v>#DIV/0!</v>
      </c>
      <c r="AS397" s="175" t="e">
        <f t="shared" si="425"/>
        <v>#DIV/0!</v>
      </c>
      <c r="AT397" s="175" t="e">
        <f t="shared" si="426"/>
        <v>#DIV/0!</v>
      </c>
      <c r="AU397" s="175">
        <f t="shared" si="427"/>
        <v>0.6</v>
      </c>
      <c r="AV397" s="175">
        <f t="shared" si="428"/>
        <v>0.7142857142857143</v>
      </c>
    </row>
    <row r="398" spans="1:48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429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61">
        <v>0</v>
      </c>
      <c r="X398" s="21"/>
      <c r="Y398" s="21"/>
      <c r="Z398" s="21"/>
      <c r="AA398" s="21"/>
      <c r="AB398" s="21"/>
      <c r="AC398" s="21"/>
      <c r="AD398" s="21"/>
      <c r="AE398" s="21"/>
      <c r="AF398" s="261">
        <f t="shared" si="412"/>
        <v>0</v>
      </c>
      <c r="AG398" s="21">
        <f t="shared" si="413"/>
        <v>0</v>
      </c>
      <c r="AI398" s="176" t="e">
        <f t="shared" si="430"/>
        <v>#DIV/0!</v>
      </c>
      <c r="AJ398" s="176" t="e">
        <f t="shared" si="416"/>
        <v>#DIV/0!</v>
      </c>
      <c r="AK398" s="176" t="e">
        <f t="shared" si="417"/>
        <v>#DIV/0!</v>
      </c>
      <c r="AL398" s="176" t="e">
        <f t="shared" si="418"/>
        <v>#DIV/0!</v>
      </c>
      <c r="AM398" s="176" t="e">
        <f t="shared" si="419"/>
        <v>#DIV/0!</v>
      </c>
      <c r="AN398" s="176" t="e">
        <f t="shared" si="420"/>
        <v>#DIV/0!</v>
      </c>
      <c r="AO398" s="176" t="e">
        <f t="shared" si="421"/>
        <v>#DIV/0!</v>
      </c>
      <c r="AP398" s="176" t="e">
        <f t="shared" si="422"/>
        <v>#DIV/0!</v>
      </c>
      <c r="AQ398" s="176">
        <f t="shared" si="423"/>
        <v>1</v>
      </c>
      <c r="AR398" s="176" t="e">
        <f t="shared" si="424"/>
        <v>#DIV/0!</v>
      </c>
      <c r="AS398" s="176" t="e">
        <f t="shared" si="425"/>
        <v>#DIV/0!</v>
      </c>
      <c r="AT398" s="176" t="e">
        <f t="shared" si="426"/>
        <v>#DIV/0!</v>
      </c>
      <c r="AU398" s="176" t="e">
        <f t="shared" si="427"/>
        <v>#DIV/0!</v>
      </c>
      <c r="AV398" s="176">
        <f t="shared" si="428"/>
        <v>1</v>
      </c>
    </row>
    <row r="399" spans="1:48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429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61">
        <v>2500000</v>
      </c>
      <c r="X399" s="21"/>
      <c r="Y399" s="21"/>
      <c r="Z399" s="21"/>
      <c r="AA399" s="21"/>
      <c r="AB399" s="21"/>
      <c r="AC399" s="21"/>
      <c r="AD399" s="21"/>
      <c r="AE399" s="21"/>
      <c r="AF399" s="261">
        <f t="shared" si="412"/>
        <v>20000000</v>
      </c>
      <c r="AG399" s="21">
        <f t="shared" si="413"/>
        <v>20000000</v>
      </c>
      <c r="AI399" s="176">
        <f t="shared" si="430"/>
        <v>-0.2</v>
      </c>
      <c r="AJ399" s="176">
        <f t="shared" si="416"/>
        <v>1</v>
      </c>
      <c r="AK399" s="176">
        <f t="shared" si="417"/>
        <v>0.8</v>
      </c>
      <c r="AL399" s="176">
        <f t="shared" si="418"/>
        <v>0.8</v>
      </c>
      <c r="AM399" s="176" t="e">
        <f t="shared" si="419"/>
        <v>#DIV/0!</v>
      </c>
      <c r="AN399" s="176" t="e">
        <f t="shared" si="420"/>
        <v>#DIV/0!</v>
      </c>
      <c r="AO399" s="176" t="e">
        <f t="shared" si="421"/>
        <v>#DIV/0!</v>
      </c>
      <c r="AP399" s="176" t="e">
        <f t="shared" si="422"/>
        <v>#DIV/0!</v>
      </c>
      <c r="AQ399" s="176" t="e">
        <f t="shared" si="423"/>
        <v>#DIV/0!</v>
      </c>
      <c r="AR399" s="176" t="e">
        <f t="shared" si="424"/>
        <v>#DIV/0!</v>
      </c>
      <c r="AS399" s="176" t="e">
        <f t="shared" si="425"/>
        <v>#DIV/0!</v>
      </c>
      <c r="AT399" s="176" t="e">
        <f t="shared" si="426"/>
        <v>#DIV/0!</v>
      </c>
      <c r="AU399" s="176">
        <f t="shared" si="427"/>
        <v>0.6</v>
      </c>
      <c r="AV399" s="176">
        <f t="shared" si="428"/>
        <v>0.6</v>
      </c>
    </row>
    <row r="400" spans="1:48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435">+D401+D402</f>
        <v>12500000</v>
      </c>
      <c r="E400" s="9">
        <f t="shared" si="435"/>
        <v>12500000</v>
      </c>
      <c r="F400" s="9">
        <f t="shared" si="435"/>
        <v>12500000</v>
      </c>
      <c r="G400" s="9">
        <f t="shared" si="435"/>
        <v>0</v>
      </c>
      <c r="H400" s="9">
        <f t="shared" si="435"/>
        <v>0</v>
      </c>
      <c r="I400" s="9">
        <f t="shared" si="435"/>
        <v>0</v>
      </c>
      <c r="J400" s="9">
        <f t="shared" si="435"/>
        <v>0</v>
      </c>
      <c r="K400" s="9">
        <f t="shared" si="435"/>
        <v>20000000</v>
      </c>
      <c r="L400" s="9">
        <f t="shared" si="435"/>
        <v>0</v>
      </c>
      <c r="M400" s="9">
        <f t="shared" si="435"/>
        <v>0</v>
      </c>
      <c r="N400" s="9">
        <f t="shared" si="435"/>
        <v>0</v>
      </c>
      <c r="O400" s="9">
        <f t="shared" si="429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f t="shared" ref="W400" si="436">+W401+W402</f>
        <v>4500000</v>
      </c>
      <c r="X400" s="9"/>
      <c r="Y400" s="9"/>
      <c r="Z400" s="9"/>
      <c r="AA400" s="9"/>
      <c r="AB400" s="9"/>
      <c r="AC400" s="9"/>
      <c r="AD400" s="9"/>
      <c r="AE400" s="9"/>
      <c r="AF400" s="9">
        <f t="shared" si="412"/>
        <v>23000000</v>
      </c>
      <c r="AG400" s="9">
        <f t="shared" si="413"/>
        <v>23000000</v>
      </c>
      <c r="AI400" s="175" t="e">
        <f t="shared" si="430"/>
        <v>#DIV/0!</v>
      </c>
      <c r="AJ400" s="175">
        <f t="shared" si="416"/>
        <v>1</v>
      </c>
      <c r="AK400" s="175">
        <f t="shared" si="417"/>
        <v>0.96</v>
      </c>
      <c r="AL400" s="175">
        <f t="shared" si="418"/>
        <v>0.64</v>
      </c>
      <c r="AM400" s="175" t="e">
        <f t="shared" si="419"/>
        <v>#DIV/0!</v>
      </c>
      <c r="AN400" s="175" t="e">
        <f t="shared" si="420"/>
        <v>#DIV/0!</v>
      </c>
      <c r="AO400" s="175" t="e">
        <f t="shared" si="421"/>
        <v>#DIV/0!</v>
      </c>
      <c r="AP400" s="175" t="e">
        <f t="shared" si="422"/>
        <v>#DIV/0!</v>
      </c>
      <c r="AQ400" s="175">
        <f t="shared" si="423"/>
        <v>1</v>
      </c>
      <c r="AR400" s="175" t="e">
        <f t="shared" si="424"/>
        <v>#DIV/0!</v>
      </c>
      <c r="AS400" s="175" t="e">
        <f t="shared" si="425"/>
        <v>#DIV/0!</v>
      </c>
      <c r="AT400" s="175" t="e">
        <f t="shared" si="426"/>
        <v>#DIV/0!</v>
      </c>
      <c r="AU400" s="175">
        <f t="shared" si="427"/>
        <v>0.38666666666666666</v>
      </c>
      <c r="AV400" s="175">
        <f t="shared" si="428"/>
        <v>0.67142857142857137</v>
      </c>
    </row>
    <row r="401" spans="1:48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429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61">
        <v>0</v>
      </c>
      <c r="X401" s="21"/>
      <c r="Y401" s="21"/>
      <c r="Z401" s="21"/>
      <c r="AA401" s="21"/>
      <c r="AB401" s="21"/>
      <c r="AC401" s="21"/>
      <c r="AD401" s="21"/>
      <c r="AE401" s="21"/>
      <c r="AF401" s="261">
        <f t="shared" si="412"/>
        <v>0</v>
      </c>
      <c r="AG401" s="21">
        <f t="shared" si="413"/>
        <v>0</v>
      </c>
      <c r="AI401" s="176" t="e">
        <f t="shared" si="430"/>
        <v>#DIV/0!</v>
      </c>
      <c r="AJ401" s="176" t="e">
        <f t="shared" si="416"/>
        <v>#DIV/0!</v>
      </c>
      <c r="AK401" s="176" t="e">
        <f t="shared" si="417"/>
        <v>#DIV/0!</v>
      </c>
      <c r="AL401" s="176" t="e">
        <f t="shared" si="418"/>
        <v>#DIV/0!</v>
      </c>
      <c r="AM401" s="176" t="e">
        <f t="shared" si="419"/>
        <v>#DIV/0!</v>
      </c>
      <c r="AN401" s="176" t="e">
        <f t="shared" si="420"/>
        <v>#DIV/0!</v>
      </c>
      <c r="AO401" s="176" t="e">
        <f t="shared" si="421"/>
        <v>#DIV/0!</v>
      </c>
      <c r="AP401" s="176" t="e">
        <f t="shared" si="422"/>
        <v>#DIV/0!</v>
      </c>
      <c r="AQ401" s="176">
        <f t="shared" si="423"/>
        <v>1</v>
      </c>
      <c r="AR401" s="176" t="e">
        <f t="shared" si="424"/>
        <v>#DIV/0!</v>
      </c>
      <c r="AS401" s="176" t="e">
        <f t="shared" si="425"/>
        <v>#DIV/0!</v>
      </c>
      <c r="AT401" s="176" t="e">
        <f t="shared" si="426"/>
        <v>#DIV/0!</v>
      </c>
      <c r="AU401" s="176" t="e">
        <f t="shared" si="427"/>
        <v>#DIV/0!</v>
      </c>
      <c r="AV401" s="176">
        <f t="shared" si="428"/>
        <v>1</v>
      </c>
    </row>
    <row r="402" spans="1:48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429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61">
        <v>4500000</v>
      </c>
      <c r="X402" s="21"/>
      <c r="Y402" s="21"/>
      <c r="Z402" s="21"/>
      <c r="AA402" s="21"/>
      <c r="AB402" s="21"/>
      <c r="AC402" s="21"/>
      <c r="AD402" s="21"/>
      <c r="AE402" s="21"/>
      <c r="AF402" s="261">
        <f t="shared" si="412"/>
        <v>23000000</v>
      </c>
      <c r="AG402" s="21">
        <f t="shared" si="413"/>
        <v>23000000</v>
      </c>
      <c r="AI402" s="176">
        <f t="shared" si="430"/>
        <v>-0.44</v>
      </c>
      <c r="AJ402" s="176">
        <f t="shared" si="416"/>
        <v>1</v>
      </c>
      <c r="AK402" s="176">
        <f t="shared" si="417"/>
        <v>0.96</v>
      </c>
      <c r="AL402" s="176">
        <f t="shared" si="418"/>
        <v>0.64</v>
      </c>
      <c r="AM402" s="176" t="e">
        <f t="shared" si="419"/>
        <v>#DIV/0!</v>
      </c>
      <c r="AN402" s="176" t="e">
        <f t="shared" si="420"/>
        <v>#DIV/0!</v>
      </c>
      <c r="AO402" s="176" t="e">
        <f t="shared" si="421"/>
        <v>#DIV/0!</v>
      </c>
      <c r="AP402" s="176" t="e">
        <f t="shared" si="422"/>
        <v>#DIV/0!</v>
      </c>
      <c r="AQ402" s="176" t="e">
        <f t="shared" si="423"/>
        <v>#DIV/0!</v>
      </c>
      <c r="AR402" s="176" t="e">
        <f t="shared" si="424"/>
        <v>#DIV/0!</v>
      </c>
      <c r="AS402" s="176" t="e">
        <f t="shared" si="425"/>
        <v>#DIV/0!</v>
      </c>
      <c r="AT402" s="176" t="e">
        <f t="shared" si="426"/>
        <v>#DIV/0!</v>
      </c>
      <c r="AU402" s="176">
        <f t="shared" si="427"/>
        <v>0.54</v>
      </c>
      <c r="AV402" s="176">
        <f t="shared" si="428"/>
        <v>0.54</v>
      </c>
    </row>
    <row r="403" spans="1:48" x14ac:dyDescent="0.25">
      <c r="A403" s="23">
        <v>302010303</v>
      </c>
      <c r="B403" s="19" t="s">
        <v>633</v>
      </c>
      <c r="C403" s="21">
        <v>2500000</v>
      </c>
      <c r="D403" s="261">
        <v>2500000</v>
      </c>
      <c r="E403" s="261">
        <v>2500000</v>
      </c>
      <c r="F403" s="261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429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61">
        <v>0</v>
      </c>
      <c r="X403" s="21"/>
      <c r="Y403" s="21"/>
      <c r="Z403" s="21"/>
      <c r="AA403" s="21"/>
      <c r="AB403" s="21"/>
      <c r="AC403" s="21"/>
      <c r="AD403" s="21"/>
      <c r="AE403" s="21"/>
      <c r="AF403" s="261">
        <f t="shared" si="412"/>
        <v>0</v>
      </c>
      <c r="AG403" s="21">
        <f t="shared" si="413"/>
        <v>0</v>
      </c>
      <c r="AI403" s="176">
        <f t="shared" si="430"/>
        <v>1</v>
      </c>
      <c r="AJ403" s="176">
        <f t="shared" si="416"/>
        <v>1</v>
      </c>
      <c r="AK403" s="176">
        <f t="shared" si="417"/>
        <v>1</v>
      </c>
      <c r="AL403" s="176">
        <f t="shared" si="418"/>
        <v>1</v>
      </c>
      <c r="AM403" s="176" t="e">
        <f t="shared" si="419"/>
        <v>#DIV/0!</v>
      </c>
      <c r="AN403" s="176" t="e">
        <f t="shared" si="420"/>
        <v>#DIV/0!</v>
      </c>
      <c r="AO403" s="176" t="e">
        <f t="shared" si="421"/>
        <v>#DIV/0!</v>
      </c>
      <c r="AP403" s="176" t="e">
        <f t="shared" si="422"/>
        <v>#DIV/0!</v>
      </c>
      <c r="AQ403" s="176" t="e">
        <f t="shared" si="423"/>
        <v>#DIV/0!</v>
      </c>
      <c r="AR403" s="176" t="e">
        <f t="shared" si="424"/>
        <v>#DIV/0!</v>
      </c>
      <c r="AS403" s="176" t="e">
        <f t="shared" si="425"/>
        <v>#DIV/0!</v>
      </c>
      <c r="AT403" s="176" t="e">
        <f t="shared" si="426"/>
        <v>#DIV/0!</v>
      </c>
      <c r="AU403" s="176">
        <f t="shared" si="427"/>
        <v>1</v>
      </c>
      <c r="AV403" s="176">
        <f t="shared" si="428"/>
        <v>1</v>
      </c>
    </row>
    <row r="404" spans="1:48" x14ac:dyDescent="0.25">
      <c r="A404" s="23">
        <v>302010304</v>
      </c>
      <c r="B404" s="19" t="s">
        <v>634</v>
      </c>
      <c r="C404" s="21">
        <f t="shared" ref="C404:N404" si="437">+C405</f>
        <v>5000000</v>
      </c>
      <c r="D404" s="21">
        <f t="shared" si="437"/>
        <v>5000000</v>
      </c>
      <c r="E404" s="21">
        <f t="shared" si="437"/>
        <v>5000000</v>
      </c>
      <c r="F404" s="21">
        <f t="shared" si="437"/>
        <v>5000000</v>
      </c>
      <c r="G404" s="21">
        <f t="shared" si="437"/>
        <v>0</v>
      </c>
      <c r="H404" s="21">
        <f t="shared" si="437"/>
        <v>0</v>
      </c>
      <c r="I404" s="21">
        <f t="shared" si="437"/>
        <v>0</v>
      </c>
      <c r="J404" s="21">
        <f t="shared" si="437"/>
        <v>0</v>
      </c>
      <c r="K404" s="21">
        <f t="shared" si="437"/>
        <v>0</v>
      </c>
      <c r="L404" s="21">
        <f t="shared" si="437"/>
        <v>0</v>
      </c>
      <c r="M404" s="21">
        <f t="shared" si="437"/>
        <v>0</v>
      </c>
      <c r="N404" s="21">
        <f t="shared" si="437"/>
        <v>0</v>
      </c>
      <c r="O404" s="21">
        <f t="shared" si="429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/>
      <c r="X404" s="21"/>
      <c r="Y404" s="21"/>
      <c r="Z404" s="21"/>
      <c r="AA404" s="21"/>
      <c r="AB404" s="21"/>
      <c r="AC404" s="21"/>
      <c r="AD404" s="21"/>
      <c r="AE404" s="21"/>
      <c r="AF404" s="9"/>
      <c r="AG404" s="21">
        <f t="shared" si="413"/>
        <v>0</v>
      </c>
      <c r="AI404" s="176">
        <f t="shared" si="430"/>
        <v>1</v>
      </c>
      <c r="AJ404" s="176">
        <f t="shared" si="416"/>
        <v>1</v>
      </c>
      <c r="AK404" s="176">
        <f t="shared" si="417"/>
        <v>1</v>
      </c>
      <c r="AL404" s="176">
        <f t="shared" si="418"/>
        <v>1</v>
      </c>
      <c r="AM404" s="176" t="e">
        <f t="shared" si="419"/>
        <v>#DIV/0!</v>
      </c>
      <c r="AN404" s="176" t="e">
        <f t="shared" si="420"/>
        <v>#DIV/0!</v>
      </c>
      <c r="AO404" s="176" t="e">
        <f t="shared" si="421"/>
        <v>#DIV/0!</v>
      </c>
      <c r="AP404" s="176" t="e">
        <f t="shared" si="422"/>
        <v>#DIV/0!</v>
      </c>
      <c r="AQ404" s="176" t="e">
        <f t="shared" si="423"/>
        <v>#DIV/0!</v>
      </c>
      <c r="AR404" s="176" t="e">
        <f t="shared" si="424"/>
        <v>#DIV/0!</v>
      </c>
      <c r="AS404" s="176" t="e">
        <f t="shared" si="425"/>
        <v>#DIV/0!</v>
      </c>
      <c r="AT404" s="176" t="e">
        <f t="shared" si="426"/>
        <v>#DIV/0!</v>
      </c>
      <c r="AU404" s="176">
        <f t="shared" si="427"/>
        <v>1</v>
      </c>
      <c r="AV404" s="176">
        <f t="shared" si="428"/>
        <v>1</v>
      </c>
    </row>
    <row r="405" spans="1:48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429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f t="shared" ref="W405" si="438">+W406+W408+W411+W413</f>
        <v>44791011</v>
      </c>
      <c r="X405" s="9"/>
      <c r="Y405" s="9"/>
      <c r="Z405" s="9"/>
      <c r="AA405" s="9"/>
      <c r="AB405" s="9"/>
      <c r="AC405" s="9"/>
      <c r="AD405" s="9"/>
      <c r="AE405" s="9"/>
      <c r="AF405" s="9">
        <f t="shared" ref="AF405:AF426" si="439">+T406+U406+V406+W405</f>
        <v>44791011</v>
      </c>
      <c r="AG405" s="9" t="e">
        <f>+T405+U405+V405+#REF!</f>
        <v>#REF!</v>
      </c>
      <c r="AI405" s="175">
        <f t="shared" si="430"/>
        <v>1</v>
      </c>
      <c r="AJ405" s="175">
        <f t="shared" si="416"/>
        <v>1</v>
      </c>
      <c r="AK405" s="175">
        <f t="shared" si="417"/>
        <v>1</v>
      </c>
      <c r="AL405" s="175" t="e">
        <f>(F405-#REF!)/F405</f>
        <v>#REF!</v>
      </c>
      <c r="AM405" s="175" t="e">
        <f>(G405-#REF!)/G405</f>
        <v>#REF!</v>
      </c>
      <c r="AN405" s="175" t="e">
        <f>(H405-#REF!)/H405</f>
        <v>#REF!</v>
      </c>
      <c r="AO405" s="175" t="e">
        <f>(I405-#REF!)/I405</f>
        <v>#REF!</v>
      </c>
      <c r="AP405" s="175" t="e">
        <f>(J405-#REF!)/J405</f>
        <v>#REF!</v>
      </c>
      <c r="AQ405" s="175" t="e">
        <f>(K405-#REF!)/K405</f>
        <v>#REF!</v>
      </c>
      <c r="AR405" s="175" t="e">
        <f>(L405-#REF!)/L405</f>
        <v>#REF!</v>
      </c>
      <c r="AS405" s="175" t="e">
        <f>(M405-#REF!)/M405</f>
        <v>#REF!</v>
      </c>
      <c r="AT405" s="175" t="e">
        <f>(N405-#REF!)/N405</f>
        <v>#REF!</v>
      </c>
      <c r="AU405" s="175" t="e">
        <f>(O405-#REF!)/O405</f>
        <v>#REF!</v>
      </c>
      <c r="AV405" s="175" t="e">
        <f t="shared" si="428"/>
        <v>#REF!</v>
      </c>
    </row>
    <row r="406" spans="1:48" x14ac:dyDescent="0.25">
      <c r="A406" s="7">
        <v>3020104</v>
      </c>
      <c r="B406" s="8" t="s">
        <v>636</v>
      </c>
      <c r="C406" s="9">
        <f t="shared" ref="C406:N406" si="440">+C407+C409+C412+C414</f>
        <v>0</v>
      </c>
      <c r="D406" s="9">
        <f t="shared" si="440"/>
        <v>0</v>
      </c>
      <c r="E406" s="9">
        <f t="shared" si="440"/>
        <v>0</v>
      </c>
      <c r="F406" s="9">
        <f t="shared" si="440"/>
        <v>0</v>
      </c>
      <c r="G406" s="9">
        <f t="shared" si="440"/>
        <v>0</v>
      </c>
      <c r="H406" s="9">
        <f t="shared" si="440"/>
        <v>0</v>
      </c>
      <c r="I406" s="9">
        <f t="shared" si="440"/>
        <v>0</v>
      </c>
      <c r="J406" s="9">
        <f t="shared" si="440"/>
        <v>50000000</v>
      </c>
      <c r="K406" s="9">
        <f t="shared" si="440"/>
        <v>150000000</v>
      </c>
      <c r="L406" s="9">
        <f t="shared" si="440"/>
        <v>0</v>
      </c>
      <c r="M406" s="9">
        <f t="shared" si="440"/>
        <v>0</v>
      </c>
      <c r="N406" s="9">
        <f t="shared" si="440"/>
        <v>0</v>
      </c>
      <c r="O406" s="9">
        <f t="shared" si="429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f t="shared" ref="W406" si="441">+W407</f>
        <v>0</v>
      </c>
      <c r="X406" s="21"/>
      <c r="Y406" s="21"/>
      <c r="Z406" s="21"/>
      <c r="AA406" s="21"/>
      <c r="AB406" s="21"/>
      <c r="AC406" s="21"/>
      <c r="AD406" s="21"/>
      <c r="AE406" s="21"/>
      <c r="AF406" s="9">
        <f t="shared" si="439"/>
        <v>0</v>
      </c>
      <c r="AG406" s="9">
        <f t="shared" ref="AG406:AG427" si="442">+T406+U406+V406+W405</f>
        <v>44791011</v>
      </c>
      <c r="AI406" s="175" t="e">
        <f t="shared" si="430"/>
        <v>#DIV/0!</v>
      </c>
      <c r="AJ406" s="175" t="e">
        <f t="shared" si="416"/>
        <v>#DIV/0!</v>
      </c>
      <c r="AK406" s="175" t="e">
        <f t="shared" si="417"/>
        <v>#DIV/0!</v>
      </c>
      <c r="AL406" s="175" t="e">
        <f t="shared" ref="AL406:AL424" si="443">(F406-W405)/F406</f>
        <v>#DIV/0!</v>
      </c>
      <c r="AM406" s="175" t="e">
        <f t="shared" ref="AM406:AM424" si="444">(G406-X405)/G406</f>
        <v>#DIV/0!</v>
      </c>
      <c r="AN406" s="175" t="e">
        <f t="shared" ref="AN406:AN424" si="445">(H406-Y405)/H406</f>
        <v>#DIV/0!</v>
      </c>
      <c r="AO406" s="175" t="e">
        <f t="shared" ref="AO406:AO424" si="446">(I406-Z405)/I406</f>
        <v>#DIV/0!</v>
      </c>
      <c r="AP406" s="175">
        <f t="shared" ref="AP406:AP424" si="447">(J406-AA405)/J406</f>
        <v>1</v>
      </c>
      <c r="AQ406" s="175">
        <f t="shared" ref="AQ406:AQ424" si="448">(K406-AB405)/K406</f>
        <v>1</v>
      </c>
      <c r="AR406" s="175" t="e">
        <f t="shared" ref="AR406:AR424" si="449">(L406-AC405)/L406</f>
        <v>#DIV/0!</v>
      </c>
      <c r="AS406" s="175" t="e">
        <f t="shared" ref="AS406:AS424" si="450">(M406-AD405)/M406</f>
        <v>#DIV/0!</v>
      </c>
      <c r="AT406" s="175" t="e">
        <f t="shared" ref="AT406:AT424" si="451">(N406-AE405)/N406</f>
        <v>#DIV/0!</v>
      </c>
      <c r="AU406" s="175" t="e">
        <f t="shared" ref="AU406:AU424" si="452">(O406-AF405)/O406</f>
        <v>#DIV/0!</v>
      </c>
      <c r="AV406" s="175">
        <f t="shared" si="428"/>
        <v>0.82083595600000003</v>
      </c>
    </row>
    <row r="407" spans="1:48" x14ac:dyDescent="0.25">
      <c r="A407" s="23">
        <v>302010401</v>
      </c>
      <c r="B407" s="19" t="s">
        <v>637</v>
      </c>
      <c r="C407" s="21">
        <f t="shared" ref="C407:N407" si="453">+C408</f>
        <v>0</v>
      </c>
      <c r="D407" s="21">
        <f t="shared" si="453"/>
        <v>0</v>
      </c>
      <c r="E407" s="21">
        <f t="shared" si="453"/>
        <v>0</v>
      </c>
      <c r="F407" s="21">
        <f t="shared" si="453"/>
        <v>0</v>
      </c>
      <c r="G407" s="21">
        <f t="shared" si="453"/>
        <v>0</v>
      </c>
      <c r="H407" s="21">
        <f t="shared" si="453"/>
        <v>0</v>
      </c>
      <c r="I407" s="21">
        <f t="shared" si="453"/>
        <v>0</v>
      </c>
      <c r="J407" s="21">
        <f t="shared" si="453"/>
        <v>0</v>
      </c>
      <c r="K407" s="21">
        <f t="shared" si="453"/>
        <v>110000000</v>
      </c>
      <c r="L407" s="21">
        <f t="shared" si="453"/>
        <v>0</v>
      </c>
      <c r="M407" s="21">
        <f t="shared" si="453"/>
        <v>0</v>
      </c>
      <c r="N407" s="21">
        <f t="shared" si="453"/>
        <v>0</v>
      </c>
      <c r="O407" s="21">
        <f t="shared" si="429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61">
        <v>0</v>
      </c>
      <c r="X407" s="9"/>
      <c r="Y407" s="9"/>
      <c r="Z407" s="9"/>
      <c r="AA407" s="9"/>
      <c r="AB407" s="9"/>
      <c r="AC407" s="9"/>
      <c r="AD407" s="9"/>
      <c r="AE407" s="9"/>
      <c r="AF407" s="261">
        <f t="shared" si="439"/>
        <v>0</v>
      </c>
      <c r="AG407" s="21">
        <f t="shared" si="442"/>
        <v>0</v>
      </c>
      <c r="AI407" s="176" t="e">
        <f t="shared" si="430"/>
        <v>#DIV/0!</v>
      </c>
      <c r="AJ407" s="176" t="e">
        <f t="shared" si="416"/>
        <v>#DIV/0!</v>
      </c>
      <c r="AK407" s="176" t="e">
        <f t="shared" si="417"/>
        <v>#DIV/0!</v>
      </c>
      <c r="AL407" s="176" t="e">
        <f t="shared" si="443"/>
        <v>#DIV/0!</v>
      </c>
      <c r="AM407" s="176" t="e">
        <f t="shared" si="444"/>
        <v>#DIV/0!</v>
      </c>
      <c r="AN407" s="176" t="e">
        <f t="shared" si="445"/>
        <v>#DIV/0!</v>
      </c>
      <c r="AO407" s="176" t="e">
        <f t="shared" si="446"/>
        <v>#DIV/0!</v>
      </c>
      <c r="AP407" s="176" t="e">
        <f t="shared" si="447"/>
        <v>#DIV/0!</v>
      </c>
      <c r="AQ407" s="176">
        <f t="shared" si="448"/>
        <v>1</v>
      </c>
      <c r="AR407" s="176" t="e">
        <f t="shared" si="449"/>
        <v>#DIV/0!</v>
      </c>
      <c r="AS407" s="176" t="e">
        <f t="shared" si="450"/>
        <v>#DIV/0!</v>
      </c>
      <c r="AT407" s="176" t="e">
        <f t="shared" si="451"/>
        <v>#DIV/0!</v>
      </c>
      <c r="AU407" s="176" t="e">
        <f t="shared" si="452"/>
        <v>#DIV/0!</v>
      </c>
      <c r="AV407" s="176">
        <f t="shared" si="428"/>
        <v>1</v>
      </c>
    </row>
    <row r="408" spans="1:48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429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f t="shared" ref="W408" si="454">+W409+W410</f>
        <v>44791011</v>
      </c>
      <c r="X408" s="21"/>
      <c r="Y408" s="21"/>
      <c r="Z408" s="21"/>
      <c r="AA408" s="21"/>
      <c r="AB408" s="21"/>
      <c r="AC408" s="21"/>
      <c r="AD408" s="21"/>
      <c r="AE408" s="21"/>
      <c r="AF408" s="9">
        <f t="shared" si="439"/>
        <v>44791011</v>
      </c>
      <c r="AG408" s="9">
        <f t="shared" si="442"/>
        <v>0</v>
      </c>
      <c r="AI408" s="175" t="e">
        <f t="shared" si="430"/>
        <v>#DIV/0!</v>
      </c>
      <c r="AJ408" s="175" t="e">
        <f t="shared" si="416"/>
        <v>#DIV/0!</v>
      </c>
      <c r="AK408" s="175" t="e">
        <f t="shared" si="417"/>
        <v>#DIV/0!</v>
      </c>
      <c r="AL408" s="175" t="e">
        <f t="shared" si="443"/>
        <v>#DIV/0!</v>
      </c>
      <c r="AM408" s="175" t="e">
        <f t="shared" si="444"/>
        <v>#DIV/0!</v>
      </c>
      <c r="AN408" s="175" t="e">
        <f t="shared" si="445"/>
        <v>#DIV/0!</v>
      </c>
      <c r="AO408" s="175" t="e">
        <f t="shared" si="446"/>
        <v>#DIV/0!</v>
      </c>
      <c r="AP408" s="175" t="e">
        <f t="shared" si="447"/>
        <v>#DIV/0!</v>
      </c>
      <c r="AQ408" s="175">
        <f t="shared" si="448"/>
        <v>1</v>
      </c>
      <c r="AR408" s="175" t="e">
        <f t="shared" si="449"/>
        <v>#DIV/0!</v>
      </c>
      <c r="AS408" s="175" t="e">
        <f t="shared" si="450"/>
        <v>#DIV/0!</v>
      </c>
      <c r="AT408" s="175" t="e">
        <f t="shared" si="451"/>
        <v>#DIV/0!</v>
      </c>
      <c r="AU408" s="175" t="e">
        <f t="shared" si="452"/>
        <v>#DIV/0!</v>
      </c>
      <c r="AV408" s="175">
        <f t="shared" si="428"/>
        <v>1</v>
      </c>
    </row>
    <row r="409" spans="1:48" x14ac:dyDescent="0.25">
      <c r="A409" s="23">
        <v>302010402</v>
      </c>
      <c r="B409" s="19" t="s">
        <v>639</v>
      </c>
      <c r="C409" s="21"/>
      <c r="D409" s="21">
        <f t="shared" ref="D409:N409" si="455">+D410+D411</f>
        <v>0</v>
      </c>
      <c r="E409" s="21">
        <f t="shared" si="455"/>
        <v>0</v>
      </c>
      <c r="F409" s="21">
        <f t="shared" si="455"/>
        <v>0</v>
      </c>
      <c r="G409" s="21">
        <f t="shared" si="455"/>
        <v>0</v>
      </c>
      <c r="H409" s="21">
        <f t="shared" si="455"/>
        <v>0</v>
      </c>
      <c r="I409" s="21">
        <f t="shared" si="455"/>
        <v>0</v>
      </c>
      <c r="J409" s="21">
        <f t="shared" si="455"/>
        <v>0</v>
      </c>
      <c r="K409" s="21">
        <f t="shared" si="455"/>
        <v>20000000</v>
      </c>
      <c r="L409" s="21">
        <f t="shared" si="455"/>
        <v>0</v>
      </c>
      <c r="M409" s="21">
        <f t="shared" si="455"/>
        <v>0</v>
      </c>
      <c r="N409" s="21">
        <f t="shared" si="455"/>
        <v>0</v>
      </c>
      <c r="O409" s="21">
        <f t="shared" si="429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61">
        <v>0</v>
      </c>
      <c r="X409" s="21"/>
      <c r="Y409" s="21"/>
      <c r="Z409" s="21"/>
      <c r="AA409" s="21"/>
      <c r="AB409" s="21"/>
      <c r="AC409" s="21"/>
      <c r="AD409" s="21"/>
      <c r="AE409" s="21"/>
      <c r="AF409" s="261">
        <f t="shared" si="439"/>
        <v>0</v>
      </c>
      <c r="AG409" s="21">
        <f t="shared" si="442"/>
        <v>44791011</v>
      </c>
      <c r="AI409" s="176" t="e">
        <f t="shared" si="430"/>
        <v>#DIV/0!</v>
      </c>
      <c r="AJ409" s="176" t="e">
        <f t="shared" si="416"/>
        <v>#DIV/0!</v>
      </c>
      <c r="AK409" s="176" t="e">
        <f t="shared" si="417"/>
        <v>#DIV/0!</v>
      </c>
      <c r="AL409" s="176" t="e">
        <f t="shared" si="443"/>
        <v>#DIV/0!</v>
      </c>
      <c r="AM409" s="176" t="e">
        <f t="shared" si="444"/>
        <v>#DIV/0!</v>
      </c>
      <c r="AN409" s="176" t="e">
        <f t="shared" si="445"/>
        <v>#DIV/0!</v>
      </c>
      <c r="AO409" s="176" t="e">
        <f t="shared" si="446"/>
        <v>#DIV/0!</v>
      </c>
      <c r="AP409" s="176" t="e">
        <f t="shared" si="447"/>
        <v>#DIV/0!</v>
      </c>
      <c r="AQ409" s="176">
        <f t="shared" si="448"/>
        <v>1</v>
      </c>
      <c r="AR409" s="176" t="e">
        <f t="shared" si="449"/>
        <v>#DIV/0!</v>
      </c>
      <c r="AS409" s="176" t="e">
        <f t="shared" si="450"/>
        <v>#DIV/0!</v>
      </c>
      <c r="AT409" s="176" t="e">
        <f t="shared" si="451"/>
        <v>#DIV/0!</v>
      </c>
      <c r="AU409" s="176" t="e">
        <f t="shared" si="452"/>
        <v>#DIV/0!</v>
      </c>
      <c r="AV409" s="176">
        <f t="shared" si="428"/>
        <v>0.36012841428571429</v>
      </c>
    </row>
    <row r="410" spans="1:48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429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61">
        <v>44791011</v>
      </c>
      <c r="X410" s="9"/>
      <c r="Y410" s="9"/>
      <c r="Z410" s="9"/>
      <c r="AA410" s="9"/>
      <c r="AB410" s="9"/>
      <c r="AC410" s="9"/>
      <c r="AD410" s="9"/>
      <c r="AE410" s="9"/>
      <c r="AF410" s="261">
        <f t="shared" si="439"/>
        <v>44791011</v>
      </c>
      <c r="AG410" s="21">
        <f t="shared" si="442"/>
        <v>0</v>
      </c>
      <c r="AI410" s="176" t="e">
        <f t="shared" si="430"/>
        <v>#DIV/0!</v>
      </c>
      <c r="AJ410" s="176" t="e">
        <f t="shared" si="416"/>
        <v>#DIV/0!</v>
      </c>
      <c r="AK410" s="176" t="e">
        <f t="shared" si="417"/>
        <v>#DIV/0!</v>
      </c>
      <c r="AL410" s="176" t="e">
        <f t="shared" si="443"/>
        <v>#DIV/0!</v>
      </c>
      <c r="AM410" s="176" t="e">
        <f t="shared" si="444"/>
        <v>#DIV/0!</v>
      </c>
      <c r="AN410" s="176" t="e">
        <f t="shared" si="445"/>
        <v>#DIV/0!</v>
      </c>
      <c r="AO410" s="176" t="e">
        <f t="shared" si="446"/>
        <v>#DIV/0!</v>
      </c>
      <c r="AP410" s="176" t="e">
        <f t="shared" si="447"/>
        <v>#DIV/0!</v>
      </c>
      <c r="AQ410" s="176">
        <f t="shared" si="448"/>
        <v>1</v>
      </c>
      <c r="AR410" s="176" t="e">
        <f t="shared" si="449"/>
        <v>#DIV/0!</v>
      </c>
      <c r="AS410" s="176" t="e">
        <f t="shared" si="450"/>
        <v>#DIV/0!</v>
      </c>
      <c r="AT410" s="176" t="e">
        <f t="shared" si="451"/>
        <v>#DIV/0!</v>
      </c>
      <c r="AU410" s="176" t="e">
        <f t="shared" si="452"/>
        <v>#DIV/0!</v>
      </c>
      <c r="AV410" s="176">
        <f t="shared" si="428"/>
        <v>1</v>
      </c>
    </row>
    <row r="411" spans="1:48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429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f t="shared" ref="W411" si="456">+W412</f>
        <v>0</v>
      </c>
      <c r="X411" s="21"/>
      <c r="Y411" s="21"/>
      <c r="Z411" s="21"/>
      <c r="AA411" s="21"/>
      <c r="AB411" s="21"/>
      <c r="AC411" s="21"/>
      <c r="AD411" s="21"/>
      <c r="AE411" s="21"/>
      <c r="AF411" s="9">
        <f t="shared" si="439"/>
        <v>0</v>
      </c>
      <c r="AG411" s="9">
        <f t="shared" si="442"/>
        <v>44791011</v>
      </c>
      <c r="AI411" s="175">
        <f t="shared" si="430"/>
        <v>1</v>
      </c>
      <c r="AJ411" s="175" t="e">
        <f t="shared" si="416"/>
        <v>#DIV/0!</v>
      </c>
      <c r="AK411" s="175" t="e">
        <f t="shared" si="417"/>
        <v>#DIV/0!</v>
      </c>
      <c r="AL411" s="175" t="e">
        <f t="shared" si="443"/>
        <v>#DIV/0!</v>
      </c>
      <c r="AM411" s="175" t="e">
        <f t="shared" si="444"/>
        <v>#DIV/0!</v>
      </c>
      <c r="AN411" s="175" t="e">
        <f t="shared" si="445"/>
        <v>#DIV/0!</v>
      </c>
      <c r="AO411" s="175" t="e">
        <f t="shared" si="446"/>
        <v>#DIV/0!</v>
      </c>
      <c r="AP411" s="175" t="e">
        <f t="shared" si="447"/>
        <v>#DIV/0!</v>
      </c>
      <c r="AQ411" s="175" t="e">
        <f t="shared" si="448"/>
        <v>#DIV/0!</v>
      </c>
      <c r="AR411" s="175" t="e">
        <f t="shared" si="449"/>
        <v>#DIV/0!</v>
      </c>
      <c r="AS411" s="175" t="e">
        <f t="shared" si="450"/>
        <v>#DIV/0!</v>
      </c>
      <c r="AT411" s="175" t="e">
        <f t="shared" si="451"/>
        <v>#DIV/0!</v>
      </c>
      <c r="AU411" s="175">
        <f t="shared" si="452"/>
        <v>0.10417978</v>
      </c>
      <c r="AV411" s="175">
        <f t="shared" si="428"/>
        <v>0.10417978</v>
      </c>
    </row>
    <row r="412" spans="1:48" x14ac:dyDescent="0.25">
      <c r="A412" s="23">
        <v>302010403</v>
      </c>
      <c r="B412" s="19" t="s">
        <v>642</v>
      </c>
      <c r="C412" s="21">
        <f t="shared" ref="C412:N412" si="457">+C413</f>
        <v>0</v>
      </c>
      <c r="D412" s="21">
        <f t="shared" si="457"/>
        <v>0</v>
      </c>
      <c r="E412" s="21">
        <f t="shared" si="457"/>
        <v>0</v>
      </c>
      <c r="F412" s="21">
        <f t="shared" si="457"/>
        <v>0</v>
      </c>
      <c r="G412" s="21">
        <f t="shared" si="457"/>
        <v>0</v>
      </c>
      <c r="H412" s="21">
        <f t="shared" si="457"/>
        <v>0</v>
      </c>
      <c r="I412" s="21">
        <f t="shared" si="457"/>
        <v>0</v>
      </c>
      <c r="J412" s="21">
        <f t="shared" si="457"/>
        <v>50000000</v>
      </c>
      <c r="K412" s="21">
        <f t="shared" si="457"/>
        <v>0</v>
      </c>
      <c r="L412" s="21">
        <f t="shared" si="457"/>
        <v>0</v>
      </c>
      <c r="M412" s="21">
        <f t="shared" si="457"/>
        <v>0</v>
      </c>
      <c r="N412" s="21">
        <f t="shared" si="457"/>
        <v>0</v>
      </c>
      <c r="O412" s="21">
        <f t="shared" si="429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61">
        <v>0</v>
      </c>
      <c r="X412" s="9"/>
      <c r="Y412" s="9"/>
      <c r="Z412" s="9"/>
      <c r="AA412" s="9"/>
      <c r="AB412" s="9"/>
      <c r="AC412" s="9"/>
      <c r="AD412" s="9"/>
      <c r="AE412" s="9"/>
      <c r="AF412" s="261">
        <f t="shared" si="439"/>
        <v>0</v>
      </c>
      <c r="AG412" s="21">
        <f t="shared" si="442"/>
        <v>0</v>
      </c>
      <c r="AI412" s="176" t="e">
        <f t="shared" si="430"/>
        <v>#DIV/0!</v>
      </c>
      <c r="AJ412" s="176" t="e">
        <f t="shared" si="416"/>
        <v>#DIV/0!</v>
      </c>
      <c r="AK412" s="176" t="e">
        <f t="shared" si="417"/>
        <v>#DIV/0!</v>
      </c>
      <c r="AL412" s="176" t="e">
        <f t="shared" si="443"/>
        <v>#DIV/0!</v>
      </c>
      <c r="AM412" s="176" t="e">
        <f t="shared" si="444"/>
        <v>#DIV/0!</v>
      </c>
      <c r="AN412" s="176" t="e">
        <f t="shared" si="445"/>
        <v>#DIV/0!</v>
      </c>
      <c r="AO412" s="176" t="e">
        <f t="shared" si="446"/>
        <v>#DIV/0!</v>
      </c>
      <c r="AP412" s="176">
        <f t="shared" si="447"/>
        <v>1</v>
      </c>
      <c r="AQ412" s="176" t="e">
        <f t="shared" si="448"/>
        <v>#DIV/0!</v>
      </c>
      <c r="AR412" s="176" t="e">
        <f t="shared" si="449"/>
        <v>#DIV/0!</v>
      </c>
      <c r="AS412" s="176" t="e">
        <f t="shared" si="450"/>
        <v>#DIV/0!</v>
      </c>
      <c r="AT412" s="176" t="e">
        <f t="shared" si="451"/>
        <v>#DIV/0!</v>
      </c>
      <c r="AU412" s="176" t="e">
        <f t="shared" si="452"/>
        <v>#DIV/0!</v>
      </c>
      <c r="AV412" s="176">
        <f t="shared" si="428"/>
        <v>1</v>
      </c>
    </row>
    <row r="413" spans="1:48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429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f t="shared" ref="W413" si="458">+W414</f>
        <v>0</v>
      </c>
      <c r="X413" s="21"/>
      <c r="Y413" s="21"/>
      <c r="Z413" s="21"/>
      <c r="AA413" s="21"/>
      <c r="AB413" s="21"/>
      <c r="AC413" s="21"/>
      <c r="AD413" s="21"/>
      <c r="AE413" s="21"/>
      <c r="AF413" s="9">
        <f t="shared" si="439"/>
        <v>0</v>
      </c>
      <c r="AG413" s="9">
        <f t="shared" si="442"/>
        <v>0</v>
      </c>
      <c r="AI413" s="175" t="e">
        <f t="shared" si="430"/>
        <v>#DIV/0!</v>
      </c>
      <c r="AJ413" s="175" t="e">
        <f t="shared" si="416"/>
        <v>#DIV/0!</v>
      </c>
      <c r="AK413" s="175" t="e">
        <f t="shared" si="417"/>
        <v>#DIV/0!</v>
      </c>
      <c r="AL413" s="175" t="e">
        <f t="shared" si="443"/>
        <v>#DIV/0!</v>
      </c>
      <c r="AM413" s="175" t="e">
        <f t="shared" si="444"/>
        <v>#DIV/0!</v>
      </c>
      <c r="AN413" s="175" t="e">
        <f t="shared" si="445"/>
        <v>#DIV/0!</v>
      </c>
      <c r="AO413" s="175" t="e">
        <f t="shared" si="446"/>
        <v>#DIV/0!</v>
      </c>
      <c r="AP413" s="175">
        <f t="shared" si="447"/>
        <v>1</v>
      </c>
      <c r="AQ413" s="175" t="e">
        <f t="shared" si="448"/>
        <v>#DIV/0!</v>
      </c>
      <c r="AR413" s="175" t="e">
        <f t="shared" si="449"/>
        <v>#DIV/0!</v>
      </c>
      <c r="AS413" s="175" t="e">
        <f t="shared" si="450"/>
        <v>#DIV/0!</v>
      </c>
      <c r="AT413" s="175" t="e">
        <f t="shared" si="451"/>
        <v>#DIV/0!</v>
      </c>
      <c r="AU413" s="175" t="e">
        <f t="shared" si="452"/>
        <v>#DIV/0!</v>
      </c>
      <c r="AV413" s="175">
        <f t="shared" si="428"/>
        <v>1</v>
      </c>
    </row>
    <row r="414" spans="1:48" x14ac:dyDescent="0.25">
      <c r="A414" s="23">
        <v>302010404</v>
      </c>
      <c r="B414" s="19" t="s">
        <v>644</v>
      </c>
      <c r="C414" s="21">
        <f t="shared" ref="C414:N414" si="459">+C415</f>
        <v>0</v>
      </c>
      <c r="D414" s="21">
        <f t="shared" si="459"/>
        <v>0</v>
      </c>
      <c r="E414" s="21">
        <f t="shared" si="459"/>
        <v>0</v>
      </c>
      <c r="F414" s="21">
        <f t="shared" si="459"/>
        <v>0</v>
      </c>
      <c r="G414" s="21">
        <f t="shared" si="459"/>
        <v>0</v>
      </c>
      <c r="H414" s="21">
        <f t="shared" si="459"/>
        <v>0</v>
      </c>
      <c r="I414" s="21">
        <f t="shared" si="459"/>
        <v>0</v>
      </c>
      <c r="J414" s="21">
        <f t="shared" si="459"/>
        <v>0</v>
      </c>
      <c r="K414" s="21">
        <f t="shared" si="459"/>
        <v>20000000</v>
      </c>
      <c r="L414" s="21">
        <f t="shared" si="459"/>
        <v>0</v>
      </c>
      <c r="M414" s="21">
        <f t="shared" si="459"/>
        <v>0</v>
      </c>
      <c r="N414" s="21">
        <f t="shared" si="459"/>
        <v>0</v>
      </c>
      <c r="O414" s="21">
        <f t="shared" si="429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61">
        <v>0</v>
      </c>
      <c r="X414" s="6"/>
      <c r="Y414" s="6"/>
      <c r="Z414" s="6"/>
      <c r="AA414" s="6"/>
      <c r="AB414" s="6"/>
      <c r="AC414" s="6"/>
      <c r="AD414" s="6"/>
      <c r="AE414" s="6"/>
      <c r="AF414" s="261">
        <f t="shared" si="439"/>
        <v>0</v>
      </c>
      <c r="AG414" s="21">
        <f t="shared" si="442"/>
        <v>0</v>
      </c>
      <c r="AI414" s="176" t="e">
        <f t="shared" si="430"/>
        <v>#DIV/0!</v>
      </c>
      <c r="AJ414" s="176" t="e">
        <f t="shared" si="416"/>
        <v>#DIV/0!</v>
      </c>
      <c r="AK414" s="176" t="e">
        <f t="shared" si="417"/>
        <v>#DIV/0!</v>
      </c>
      <c r="AL414" s="176" t="e">
        <f t="shared" si="443"/>
        <v>#DIV/0!</v>
      </c>
      <c r="AM414" s="176" t="e">
        <f t="shared" si="444"/>
        <v>#DIV/0!</v>
      </c>
      <c r="AN414" s="176" t="e">
        <f t="shared" si="445"/>
        <v>#DIV/0!</v>
      </c>
      <c r="AO414" s="176" t="e">
        <f t="shared" si="446"/>
        <v>#DIV/0!</v>
      </c>
      <c r="AP414" s="176" t="e">
        <f t="shared" si="447"/>
        <v>#DIV/0!</v>
      </c>
      <c r="AQ414" s="176">
        <f t="shared" si="448"/>
        <v>1</v>
      </c>
      <c r="AR414" s="176" t="e">
        <f t="shared" si="449"/>
        <v>#DIV/0!</v>
      </c>
      <c r="AS414" s="176" t="e">
        <f t="shared" si="450"/>
        <v>#DIV/0!</v>
      </c>
      <c r="AT414" s="176" t="e">
        <f t="shared" si="451"/>
        <v>#DIV/0!</v>
      </c>
      <c r="AU414" s="176" t="e">
        <f t="shared" si="452"/>
        <v>#DIV/0!</v>
      </c>
      <c r="AV414" s="176">
        <f t="shared" si="428"/>
        <v>1</v>
      </c>
    </row>
    <row r="415" spans="1:48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429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f t="shared" ref="W415" si="460">+W416</f>
        <v>0</v>
      </c>
      <c r="X415" s="9"/>
      <c r="Y415" s="9"/>
      <c r="Z415" s="9"/>
      <c r="AA415" s="9"/>
      <c r="AB415" s="9"/>
      <c r="AC415" s="9"/>
      <c r="AD415" s="9"/>
      <c r="AE415" s="9"/>
      <c r="AF415" s="6">
        <f t="shared" si="439"/>
        <v>271316</v>
      </c>
      <c r="AG415" s="6">
        <f t="shared" si="442"/>
        <v>0</v>
      </c>
      <c r="AI415" s="174" t="e">
        <f t="shared" si="430"/>
        <v>#DIV/0!</v>
      </c>
      <c r="AJ415" s="174" t="e">
        <f t="shared" si="416"/>
        <v>#DIV/0!</v>
      </c>
      <c r="AK415" s="174" t="e">
        <f t="shared" si="417"/>
        <v>#DIV/0!</v>
      </c>
      <c r="AL415" s="174" t="e">
        <f t="shared" si="443"/>
        <v>#DIV/0!</v>
      </c>
      <c r="AM415" s="174" t="e">
        <f t="shared" si="444"/>
        <v>#DIV/0!</v>
      </c>
      <c r="AN415" s="174" t="e">
        <f t="shared" si="445"/>
        <v>#DIV/0!</v>
      </c>
      <c r="AO415" s="174" t="e">
        <f t="shared" si="446"/>
        <v>#DIV/0!</v>
      </c>
      <c r="AP415" s="174" t="e">
        <f t="shared" si="447"/>
        <v>#DIV/0!</v>
      </c>
      <c r="AQ415" s="174">
        <f t="shared" si="448"/>
        <v>1</v>
      </c>
      <c r="AR415" s="174" t="e">
        <f t="shared" si="449"/>
        <v>#DIV/0!</v>
      </c>
      <c r="AS415" s="174" t="e">
        <f t="shared" si="450"/>
        <v>#DIV/0!</v>
      </c>
      <c r="AT415" s="174" t="e">
        <f t="shared" si="451"/>
        <v>#DIV/0!</v>
      </c>
      <c r="AU415" s="174" t="e">
        <f t="shared" si="452"/>
        <v>#DIV/0!</v>
      </c>
      <c r="AV415" s="174">
        <f t="shared" si="428"/>
        <v>1</v>
      </c>
    </row>
    <row r="416" spans="1:48" x14ac:dyDescent="0.25">
      <c r="A416" s="7">
        <v>30202</v>
      </c>
      <c r="B416" s="8" t="s">
        <v>646</v>
      </c>
      <c r="C416" s="9">
        <f t="shared" ref="C416:N416" si="461">+C417</f>
        <v>3465982.4166666665</v>
      </c>
      <c r="D416" s="9">
        <f t="shared" si="461"/>
        <v>3465982.4166666665</v>
      </c>
      <c r="E416" s="9">
        <f t="shared" si="461"/>
        <v>3465982.4166666665</v>
      </c>
      <c r="F416" s="9">
        <f t="shared" si="461"/>
        <v>3465982.4166666665</v>
      </c>
      <c r="G416" s="9">
        <f t="shared" si="461"/>
        <v>3465982.4166666665</v>
      </c>
      <c r="H416" s="9">
        <f t="shared" si="461"/>
        <v>3465982.4166666665</v>
      </c>
      <c r="I416" s="9">
        <f t="shared" si="461"/>
        <v>3465982.4166666665</v>
      </c>
      <c r="J416" s="9">
        <f t="shared" si="461"/>
        <v>3465982.4166666665</v>
      </c>
      <c r="K416" s="9">
        <f t="shared" si="461"/>
        <v>73465982.416666657</v>
      </c>
      <c r="L416" s="9">
        <f t="shared" si="461"/>
        <v>3465982.4166666665</v>
      </c>
      <c r="M416" s="9">
        <f t="shared" si="461"/>
        <v>3465982.4166666665</v>
      </c>
      <c r="N416" s="9">
        <f t="shared" si="461"/>
        <v>3465982.4166666665</v>
      </c>
      <c r="O416" s="9">
        <f t="shared" si="429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f t="shared" ref="W416" si="462">+W417+W420</f>
        <v>0</v>
      </c>
      <c r="X416" s="9"/>
      <c r="Y416" s="9"/>
      <c r="Z416" s="9"/>
      <c r="AA416" s="9"/>
      <c r="AB416" s="9"/>
      <c r="AC416" s="9"/>
      <c r="AD416" s="9"/>
      <c r="AE416" s="9"/>
      <c r="AF416" s="9">
        <f t="shared" si="439"/>
        <v>271316</v>
      </c>
      <c r="AG416" s="9">
        <f t="shared" si="442"/>
        <v>271316</v>
      </c>
      <c r="AI416" s="175">
        <f t="shared" si="430"/>
        <v>1</v>
      </c>
      <c r="AJ416" s="175">
        <f t="shared" si="416"/>
        <v>1</v>
      </c>
      <c r="AK416" s="175">
        <f t="shared" si="417"/>
        <v>0.9217203184022692</v>
      </c>
      <c r="AL416" s="175">
        <f t="shared" si="443"/>
        <v>1</v>
      </c>
      <c r="AM416" s="175">
        <f t="shared" si="444"/>
        <v>1</v>
      </c>
      <c r="AN416" s="175">
        <f t="shared" si="445"/>
        <v>1</v>
      </c>
      <c r="AO416" s="175">
        <f t="shared" si="446"/>
        <v>1</v>
      </c>
      <c r="AP416" s="175">
        <f t="shared" si="447"/>
        <v>1</v>
      </c>
      <c r="AQ416" s="175">
        <f t="shared" si="448"/>
        <v>1</v>
      </c>
      <c r="AR416" s="175">
        <f t="shared" si="449"/>
        <v>1</v>
      </c>
      <c r="AS416" s="175">
        <f t="shared" si="450"/>
        <v>1</v>
      </c>
      <c r="AT416" s="175">
        <f t="shared" si="451"/>
        <v>1</v>
      </c>
      <c r="AU416" s="175">
        <f t="shared" si="452"/>
        <v>0.98043007960056727</v>
      </c>
      <c r="AV416" s="175">
        <f t="shared" si="428"/>
        <v>0.99756867416114281</v>
      </c>
    </row>
    <row r="417" spans="1:49" x14ac:dyDescent="0.25">
      <c r="A417" s="7">
        <v>3020201</v>
      </c>
      <c r="B417" s="8" t="s">
        <v>907</v>
      </c>
      <c r="C417" s="9">
        <f t="shared" ref="C417:N417" si="463">+C418+C421</f>
        <v>3465982.4166666665</v>
      </c>
      <c r="D417" s="9">
        <f t="shared" si="463"/>
        <v>3465982.4166666665</v>
      </c>
      <c r="E417" s="9">
        <f t="shared" si="463"/>
        <v>3465982.4166666665</v>
      </c>
      <c r="F417" s="9">
        <f t="shared" si="463"/>
        <v>3465982.4166666665</v>
      </c>
      <c r="G417" s="9">
        <f t="shared" si="463"/>
        <v>3465982.4166666665</v>
      </c>
      <c r="H417" s="9">
        <f t="shared" si="463"/>
        <v>3465982.4166666665</v>
      </c>
      <c r="I417" s="9">
        <f t="shared" si="463"/>
        <v>3465982.4166666665</v>
      </c>
      <c r="J417" s="9">
        <f t="shared" si="463"/>
        <v>3465982.4166666665</v>
      </c>
      <c r="K417" s="9">
        <f t="shared" si="463"/>
        <v>73465982.416666657</v>
      </c>
      <c r="L417" s="9">
        <f t="shared" si="463"/>
        <v>3465982.4166666665</v>
      </c>
      <c r="M417" s="9">
        <f t="shared" si="463"/>
        <v>3465982.4166666665</v>
      </c>
      <c r="N417" s="9">
        <f t="shared" si="463"/>
        <v>3465982.4166666665</v>
      </c>
      <c r="O417" s="9">
        <f t="shared" si="429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f t="shared" ref="W417" si="464">+W418+W419</f>
        <v>0</v>
      </c>
      <c r="X417" s="21"/>
      <c r="Y417" s="21"/>
      <c r="Z417" s="21"/>
      <c r="AA417" s="21"/>
      <c r="AB417" s="21"/>
      <c r="AC417" s="21"/>
      <c r="AD417" s="21"/>
      <c r="AE417" s="21"/>
      <c r="AF417" s="9">
        <f t="shared" si="439"/>
        <v>271316</v>
      </c>
      <c r="AG417" s="9">
        <f t="shared" si="442"/>
        <v>271316</v>
      </c>
      <c r="AI417" s="175">
        <f t="shared" si="430"/>
        <v>1</v>
      </c>
      <c r="AJ417" s="175">
        <f t="shared" si="416"/>
        <v>1</v>
      </c>
      <c r="AK417" s="175">
        <f t="shared" si="417"/>
        <v>0.9217203184022692</v>
      </c>
      <c r="AL417" s="175">
        <f t="shared" si="443"/>
        <v>1</v>
      </c>
      <c r="AM417" s="175">
        <f t="shared" si="444"/>
        <v>1</v>
      </c>
      <c r="AN417" s="175">
        <f t="shared" si="445"/>
        <v>1</v>
      </c>
      <c r="AO417" s="175">
        <f t="shared" si="446"/>
        <v>1</v>
      </c>
      <c r="AP417" s="175">
        <f t="shared" si="447"/>
        <v>1</v>
      </c>
      <c r="AQ417" s="175">
        <f t="shared" si="448"/>
        <v>1</v>
      </c>
      <c r="AR417" s="175">
        <f t="shared" si="449"/>
        <v>1</v>
      </c>
      <c r="AS417" s="175">
        <f t="shared" si="450"/>
        <v>1</v>
      </c>
      <c r="AT417" s="175">
        <f t="shared" si="451"/>
        <v>1</v>
      </c>
      <c r="AU417" s="175">
        <f t="shared" si="452"/>
        <v>0.98043007960056727</v>
      </c>
      <c r="AV417" s="175">
        <f t="shared" si="428"/>
        <v>0.99756867416114281</v>
      </c>
    </row>
    <row r="418" spans="1:49" x14ac:dyDescent="0.25">
      <c r="A418" s="23">
        <v>302020101</v>
      </c>
      <c r="B418" s="19" t="s">
        <v>648</v>
      </c>
      <c r="C418" s="21">
        <f t="shared" ref="C418:N418" si="465">+C419+C420</f>
        <v>3465982.4166666665</v>
      </c>
      <c r="D418" s="21">
        <f t="shared" si="465"/>
        <v>3465982.4166666665</v>
      </c>
      <c r="E418" s="21">
        <f t="shared" si="465"/>
        <v>3465982.4166666665</v>
      </c>
      <c r="F418" s="21">
        <f t="shared" si="465"/>
        <v>3465982.4166666665</v>
      </c>
      <c r="G418" s="21">
        <f t="shared" si="465"/>
        <v>3465982.4166666665</v>
      </c>
      <c r="H418" s="21">
        <f t="shared" si="465"/>
        <v>3465982.4166666665</v>
      </c>
      <c r="I418" s="21">
        <f t="shared" si="465"/>
        <v>3465982.4166666665</v>
      </c>
      <c r="J418" s="21">
        <f t="shared" si="465"/>
        <v>3465982.4166666665</v>
      </c>
      <c r="K418" s="21">
        <f t="shared" si="465"/>
        <v>43465982.416666664</v>
      </c>
      <c r="L418" s="21">
        <f t="shared" si="465"/>
        <v>3465982.4166666665</v>
      </c>
      <c r="M418" s="21">
        <f t="shared" si="465"/>
        <v>3465982.4166666665</v>
      </c>
      <c r="N418" s="21">
        <f t="shared" si="465"/>
        <v>3465982.4166666665</v>
      </c>
      <c r="O418" s="21">
        <f t="shared" si="429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61">
        <v>0</v>
      </c>
      <c r="X418" s="21"/>
      <c r="Y418" s="21"/>
      <c r="Z418" s="21"/>
      <c r="AA418" s="21"/>
      <c r="AB418" s="21"/>
      <c r="AC418" s="21"/>
      <c r="AD418" s="21"/>
      <c r="AE418" s="21"/>
      <c r="AF418" s="261">
        <f t="shared" si="439"/>
        <v>0</v>
      </c>
      <c r="AG418" s="21">
        <f t="shared" si="442"/>
        <v>271316</v>
      </c>
      <c r="AI418" s="176">
        <f t="shared" si="430"/>
        <v>1</v>
      </c>
      <c r="AJ418" s="176">
        <f t="shared" si="416"/>
        <v>1</v>
      </c>
      <c r="AK418" s="176">
        <f t="shared" si="417"/>
        <v>0.9217203184022692</v>
      </c>
      <c r="AL418" s="176">
        <f t="shared" si="443"/>
        <v>1</v>
      </c>
      <c r="AM418" s="176">
        <f t="shared" si="444"/>
        <v>1</v>
      </c>
      <c r="AN418" s="176">
        <f t="shared" si="445"/>
        <v>1</v>
      </c>
      <c r="AO418" s="176">
        <f t="shared" si="446"/>
        <v>1</v>
      </c>
      <c r="AP418" s="176">
        <f t="shared" si="447"/>
        <v>1</v>
      </c>
      <c r="AQ418" s="176">
        <f t="shared" si="448"/>
        <v>1</v>
      </c>
      <c r="AR418" s="176">
        <f t="shared" si="449"/>
        <v>1</v>
      </c>
      <c r="AS418" s="176">
        <f t="shared" si="450"/>
        <v>1</v>
      </c>
      <c r="AT418" s="176">
        <f t="shared" si="451"/>
        <v>1</v>
      </c>
      <c r="AU418" s="176">
        <f t="shared" si="452"/>
        <v>0.98043007960056727</v>
      </c>
      <c r="AV418" s="176">
        <f t="shared" si="428"/>
        <v>0.99667471441274558</v>
      </c>
    </row>
    <row r="419" spans="1:49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429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61">
        <v>0</v>
      </c>
      <c r="X419" s="9"/>
      <c r="Y419" s="9"/>
      <c r="Z419" s="9"/>
      <c r="AA419" s="9"/>
      <c r="AB419" s="9"/>
      <c r="AC419" s="9"/>
      <c r="AD419" s="9"/>
      <c r="AE419" s="9"/>
      <c r="AF419" s="261">
        <f t="shared" si="439"/>
        <v>271316</v>
      </c>
      <c r="AG419" s="21">
        <f t="shared" si="442"/>
        <v>0</v>
      </c>
      <c r="AI419" s="176" t="e">
        <f t="shared" si="430"/>
        <v>#DIV/0!</v>
      </c>
      <c r="AJ419" s="176" t="e">
        <f t="shared" si="416"/>
        <v>#DIV/0!</v>
      </c>
      <c r="AK419" s="176" t="e">
        <f t="shared" si="417"/>
        <v>#DIV/0!</v>
      </c>
      <c r="AL419" s="176" t="e">
        <f t="shared" si="443"/>
        <v>#DIV/0!</v>
      </c>
      <c r="AM419" s="176" t="e">
        <f t="shared" si="444"/>
        <v>#DIV/0!</v>
      </c>
      <c r="AN419" s="176" t="e">
        <f t="shared" si="445"/>
        <v>#DIV/0!</v>
      </c>
      <c r="AO419" s="176" t="e">
        <f t="shared" si="446"/>
        <v>#DIV/0!</v>
      </c>
      <c r="AP419" s="176" t="e">
        <f t="shared" si="447"/>
        <v>#DIV/0!</v>
      </c>
      <c r="AQ419" s="176">
        <f t="shared" si="448"/>
        <v>1</v>
      </c>
      <c r="AR419" s="176" t="e">
        <f t="shared" si="449"/>
        <v>#DIV/0!</v>
      </c>
      <c r="AS419" s="176" t="e">
        <f t="shared" si="450"/>
        <v>#DIV/0!</v>
      </c>
      <c r="AT419" s="176" t="e">
        <f t="shared" si="451"/>
        <v>#DIV/0!</v>
      </c>
      <c r="AU419" s="176" t="e">
        <f t="shared" si="452"/>
        <v>#DIV/0!</v>
      </c>
      <c r="AV419" s="176">
        <f t="shared" si="428"/>
        <v>1</v>
      </c>
    </row>
    <row r="420" spans="1:49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429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f t="shared" ref="W420" si="466">+W421</f>
        <v>0</v>
      </c>
      <c r="X420" s="21"/>
      <c r="Y420" s="21"/>
      <c r="Z420" s="21"/>
      <c r="AA420" s="21"/>
      <c r="AB420" s="21"/>
      <c r="AC420" s="21"/>
      <c r="AD420" s="21"/>
      <c r="AE420" s="21"/>
      <c r="AF420" s="9">
        <f t="shared" si="439"/>
        <v>0</v>
      </c>
      <c r="AG420" s="9">
        <f t="shared" si="442"/>
        <v>271316</v>
      </c>
      <c r="AI420" s="175">
        <f t="shared" si="430"/>
        <v>1</v>
      </c>
      <c r="AJ420" s="175">
        <f t="shared" si="416"/>
        <v>1</v>
      </c>
      <c r="AK420" s="175">
        <f t="shared" si="417"/>
        <v>0.9217203184022692</v>
      </c>
      <c r="AL420" s="175">
        <f t="shared" si="443"/>
        <v>1</v>
      </c>
      <c r="AM420" s="175">
        <f t="shared" si="444"/>
        <v>1</v>
      </c>
      <c r="AN420" s="175">
        <f t="shared" si="445"/>
        <v>1</v>
      </c>
      <c r="AO420" s="175">
        <f t="shared" si="446"/>
        <v>1</v>
      </c>
      <c r="AP420" s="175">
        <f t="shared" si="447"/>
        <v>1</v>
      </c>
      <c r="AQ420" s="175">
        <f t="shared" si="448"/>
        <v>1</v>
      </c>
      <c r="AR420" s="175">
        <f t="shared" si="449"/>
        <v>1</v>
      </c>
      <c r="AS420" s="175">
        <f t="shared" si="450"/>
        <v>1</v>
      </c>
      <c r="AT420" s="175">
        <f t="shared" si="451"/>
        <v>1</v>
      </c>
      <c r="AU420" s="175">
        <f t="shared" si="452"/>
        <v>0.98043007960056727</v>
      </c>
      <c r="AV420" s="175">
        <f t="shared" si="428"/>
        <v>0.99347669320018905</v>
      </c>
    </row>
    <row r="421" spans="1:49" x14ac:dyDescent="0.25">
      <c r="A421" s="23">
        <v>302020102</v>
      </c>
      <c r="B421" s="19" t="s">
        <v>651</v>
      </c>
      <c r="C421" s="21">
        <f t="shared" ref="C421:N421" si="467">+C422</f>
        <v>0</v>
      </c>
      <c r="D421" s="21">
        <f t="shared" si="467"/>
        <v>0</v>
      </c>
      <c r="E421" s="21">
        <f t="shared" si="467"/>
        <v>0</v>
      </c>
      <c r="F421" s="21">
        <f t="shared" si="467"/>
        <v>0</v>
      </c>
      <c r="G421" s="21">
        <f t="shared" si="467"/>
        <v>0</v>
      </c>
      <c r="H421" s="21">
        <f t="shared" si="467"/>
        <v>0</v>
      </c>
      <c r="I421" s="21">
        <f t="shared" si="467"/>
        <v>0</v>
      </c>
      <c r="J421" s="21">
        <f t="shared" si="467"/>
        <v>0</v>
      </c>
      <c r="K421" s="21">
        <f t="shared" si="467"/>
        <v>30000000</v>
      </c>
      <c r="L421" s="21">
        <f t="shared" si="467"/>
        <v>0</v>
      </c>
      <c r="M421" s="21">
        <f t="shared" si="467"/>
        <v>0</v>
      </c>
      <c r="N421" s="21">
        <f t="shared" si="467"/>
        <v>0</v>
      </c>
      <c r="O421" s="21">
        <f t="shared" si="429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61">
        <v>0</v>
      </c>
      <c r="X421" s="6"/>
      <c r="Y421" s="6"/>
      <c r="Z421" s="6"/>
      <c r="AA421" s="6"/>
      <c r="AB421" s="6"/>
      <c r="AC421" s="6"/>
      <c r="AD421" s="6"/>
      <c r="AE421" s="6"/>
      <c r="AF421" s="261">
        <f t="shared" si="439"/>
        <v>0</v>
      </c>
      <c r="AG421" s="21">
        <f t="shared" si="442"/>
        <v>0</v>
      </c>
      <c r="AI421" s="176" t="e">
        <f t="shared" si="430"/>
        <v>#DIV/0!</v>
      </c>
      <c r="AJ421" s="176" t="e">
        <f t="shared" si="416"/>
        <v>#DIV/0!</v>
      </c>
      <c r="AK421" s="176" t="e">
        <f t="shared" si="417"/>
        <v>#DIV/0!</v>
      </c>
      <c r="AL421" s="176" t="e">
        <f t="shared" si="443"/>
        <v>#DIV/0!</v>
      </c>
      <c r="AM421" s="176" t="e">
        <f t="shared" si="444"/>
        <v>#DIV/0!</v>
      </c>
      <c r="AN421" s="176" t="e">
        <f t="shared" si="445"/>
        <v>#DIV/0!</v>
      </c>
      <c r="AO421" s="176" t="e">
        <f t="shared" si="446"/>
        <v>#DIV/0!</v>
      </c>
      <c r="AP421" s="176" t="e">
        <f t="shared" si="447"/>
        <v>#DIV/0!</v>
      </c>
      <c r="AQ421" s="176">
        <f t="shared" si="448"/>
        <v>1</v>
      </c>
      <c r="AR421" s="176" t="e">
        <f t="shared" si="449"/>
        <v>#DIV/0!</v>
      </c>
      <c r="AS421" s="176" t="e">
        <f t="shared" si="450"/>
        <v>#DIV/0!</v>
      </c>
      <c r="AT421" s="176" t="e">
        <f t="shared" si="451"/>
        <v>#DIV/0!</v>
      </c>
      <c r="AU421" s="176" t="e">
        <f t="shared" si="452"/>
        <v>#DIV/0!</v>
      </c>
      <c r="AV421" s="176">
        <f t="shared" si="428"/>
        <v>1</v>
      </c>
    </row>
    <row r="422" spans="1:49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429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f t="shared" ref="W422" si="468">+W423+W426</f>
        <v>0</v>
      </c>
      <c r="X422" s="9"/>
      <c r="Y422" s="9"/>
      <c r="Z422" s="9"/>
      <c r="AA422" s="9"/>
      <c r="AB422" s="9"/>
      <c r="AC422" s="9"/>
      <c r="AD422" s="9"/>
      <c r="AE422" s="9"/>
      <c r="AF422" s="6">
        <f t="shared" si="439"/>
        <v>0</v>
      </c>
      <c r="AG422" s="6">
        <f t="shared" si="442"/>
        <v>0</v>
      </c>
      <c r="AI422" s="174" t="e">
        <f t="shared" si="430"/>
        <v>#DIV/0!</v>
      </c>
      <c r="AJ422" s="174" t="e">
        <f t="shared" si="416"/>
        <v>#DIV/0!</v>
      </c>
      <c r="AK422" s="174" t="e">
        <f t="shared" si="417"/>
        <v>#DIV/0!</v>
      </c>
      <c r="AL422" s="174" t="e">
        <f t="shared" si="443"/>
        <v>#DIV/0!</v>
      </c>
      <c r="AM422" s="174" t="e">
        <f t="shared" si="444"/>
        <v>#DIV/0!</v>
      </c>
      <c r="AN422" s="174" t="e">
        <f t="shared" si="445"/>
        <v>#DIV/0!</v>
      </c>
      <c r="AO422" s="174" t="e">
        <f t="shared" si="446"/>
        <v>#DIV/0!</v>
      </c>
      <c r="AP422" s="174" t="e">
        <f t="shared" si="447"/>
        <v>#DIV/0!</v>
      </c>
      <c r="AQ422" s="174">
        <f t="shared" si="448"/>
        <v>1</v>
      </c>
      <c r="AR422" s="174" t="e">
        <f t="shared" si="449"/>
        <v>#DIV/0!</v>
      </c>
      <c r="AS422" s="174" t="e">
        <f t="shared" si="450"/>
        <v>#DIV/0!</v>
      </c>
      <c r="AT422" s="174" t="e">
        <f t="shared" si="451"/>
        <v>#DIV/0!</v>
      </c>
      <c r="AU422" s="174" t="e">
        <f t="shared" si="452"/>
        <v>#DIV/0!</v>
      </c>
      <c r="AV422" s="174">
        <f t="shared" si="428"/>
        <v>1</v>
      </c>
    </row>
    <row r="423" spans="1:49" x14ac:dyDescent="0.25">
      <c r="A423" s="7">
        <v>30203</v>
      </c>
      <c r="B423" s="8" t="s">
        <v>653</v>
      </c>
      <c r="C423" s="9">
        <f t="shared" ref="C423:N423" si="469">+C424+C427</f>
        <v>25000000</v>
      </c>
      <c r="D423" s="9">
        <f t="shared" si="469"/>
        <v>25000000</v>
      </c>
      <c r="E423" s="9">
        <f t="shared" si="469"/>
        <v>25000000</v>
      </c>
      <c r="F423" s="9">
        <f t="shared" si="469"/>
        <v>25000000</v>
      </c>
      <c r="G423" s="9">
        <f t="shared" si="469"/>
        <v>25000000</v>
      </c>
      <c r="H423" s="9">
        <f t="shared" si="469"/>
        <v>25000000</v>
      </c>
      <c r="I423" s="9">
        <f t="shared" si="469"/>
        <v>25000000</v>
      </c>
      <c r="J423" s="9">
        <f t="shared" si="469"/>
        <v>25000000</v>
      </c>
      <c r="K423" s="9">
        <f t="shared" si="469"/>
        <v>35099075</v>
      </c>
      <c r="L423" s="9">
        <f t="shared" si="469"/>
        <v>25000000</v>
      </c>
      <c r="M423" s="9">
        <f t="shared" si="469"/>
        <v>25000000</v>
      </c>
      <c r="N423" s="9">
        <f t="shared" si="469"/>
        <v>25000000</v>
      </c>
      <c r="O423" s="9">
        <f t="shared" si="429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f t="shared" ref="W423:W424" si="470">+W424</f>
        <v>0</v>
      </c>
      <c r="X423" s="9"/>
      <c r="Y423" s="9"/>
      <c r="Z423" s="9"/>
      <c r="AA423" s="9"/>
      <c r="AB423" s="9"/>
      <c r="AC423" s="9"/>
      <c r="AD423" s="9"/>
      <c r="AE423" s="9"/>
      <c r="AF423" s="9">
        <f t="shared" si="439"/>
        <v>0</v>
      </c>
      <c r="AG423" s="9">
        <f t="shared" si="442"/>
        <v>0</v>
      </c>
      <c r="AI423" s="175">
        <f t="shared" si="430"/>
        <v>1</v>
      </c>
      <c r="AJ423" s="175">
        <f t="shared" si="416"/>
        <v>1</v>
      </c>
      <c r="AK423" s="175">
        <f t="shared" si="417"/>
        <v>1</v>
      </c>
      <c r="AL423" s="175">
        <f t="shared" si="443"/>
        <v>1</v>
      </c>
      <c r="AM423" s="175">
        <f t="shared" si="444"/>
        <v>1</v>
      </c>
      <c r="AN423" s="175">
        <f t="shared" si="445"/>
        <v>1</v>
      </c>
      <c r="AO423" s="175">
        <f t="shared" si="446"/>
        <v>1</v>
      </c>
      <c r="AP423" s="175">
        <f t="shared" si="447"/>
        <v>1</v>
      </c>
      <c r="AQ423" s="175">
        <f t="shared" si="448"/>
        <v>1</v>
      </c>
      <c r="AR423" s="175">
        <f t="shared" si="449"/>
        <v>1</v>
      </c>
      <c r="AS423" s="175">
        <f t="shared" si="450"/>
        <v>1</v>
      </c>
      <c r="AT423" s="175">
        <f t="shared" si="451"/>
        <v>1</v>
      </c>
      <c r="AU423" s="175">
        <f t="shared" si="452"/>
        <v>1</v>
      </c>
      <c r="AV423" s="175">
        <f t="shared" si="428"/>
        <v>1</v>
      </c>
    </row>
    <row r="424" spans="1:49" x14ac:dyDescent="0.25">
      <c r="A424" s="7">
        <v>3020301</v>
      </c>
      <c r="B424" s="8" t="s">
        <v>654</v>
      </c>
      <c r="C424" s="9">
        <f t="shared" ref="C424:N424" si="471">+C426</f>
        <v>0</v>
      </c>
      <c r="D424" s="9">
        <f t="shared" si="471"/>
        <v>0</v>
      </c>
      <c r="E424" s="9">
        <f t="shared" si="471"/>
        <v>0</v>
      </c>
      <c r="F424" s="9">
        <f t="shared" si="471"/>
        <v>0</v>
      </c>
      <c r="G424" s="9">
        <f t="shared" si="471"/>
        <v>0</v>
      </c>
      <c r="H424" s="9">
        <f t="shared" si="471"/>
        <v>0</v>
      </c>
      <c r="I424" s="9">
        <f t="shared" si="471"/>
        <v>0</v>
      </c>
      <c r="J424" s="9">
        <f t="shared" si="471"/>
        <v>0</v>
      </c>
      <c r="K424" s="9">
        <f t="shared" si="471"/>
        <v>10099075</v>
      </c>
      <c r="L424" s="9">
        <f t="shared" si="471"/>
        <v>0</v>
      </c>
      <c r="M424" s="9">
        <f t="shared" si="471"/>
        <v>0</v>
      </c>
      <c r="N424" s="9">
        <f t="shared" si="471"/>
        <v>0</v>
      </c>
      <c r="O424" s="9">
        <f t="shared" si="429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f t="shared" si="470"/>
        <v>0</v>
      </c>
      <c r="X424" s="9"/>
      <c r="Y424" s="9"/>
      <c r="Z424" s="9"/>
      <c r="AA424" s="9"/>
      <c r="AB424" s="9"/>
      <c r="AC424" s="9"/>
      <c r="AD424" s="9"/>
      <c r="AE424" s="9"/>
      <c r="AF424" s="9">
        <f t="shared" si="439"/>
        <v>0</v>
      </c>
      <c r="AG424" s="9">
        <f t="shared" si="442"/>
        <v>0</v>
      </c>
      <c r="AI424" s="175" t="e">
        <f t="shared" si="430"/>
        <v>#DIV/0!</v>
      </c>
      <c r="AJ424" s="175" t="e">
        <f t="shared" si="416"/>
        <v>#DIV/0!</v>
      </c>
      <c r="AK424" s="175" t="e">
        <f t="shared" si="417"/>
        <v>#DIV/0!</v>
      </c>
      <c r="AL424" s="175" t="e">
        <f t="shared" si="443"/>
        <v>#DIV/0!</v>
      </c>
      <c r="AM424" s="175" t="e">
        <f t="shared" si="444"/>
        <v>#DIV/0!</v>
      </c>
      <c r="AN424" s="175" t="e">
        <f t="shared" si="445"/>
        <v>#DIV/0!</v>
      </c>
      <c r="AO424" s="175" t="e">
        <f t="shared" si="446"/>
        <v>#DIV/0!</v>
      </c>
      <c r="AP424" s="175" t="e">
        <f t="shared" si="447"/>
        <v>#DIV/0!</v>
      </c>
      <c r="AQ424" s="175">
        <f t="shared" si="448"/>
        <v>1</v>
      </c>
      <c r="AR424" s="175" t="e">
        <f t="shared" si="449"/>
        <v>#DIV/0!</v>
      </c>
      <c r="AS424" s="175" t="e">
        <f t="shared" si="450"/>
        <v>#DIV/0!</v>
      </c>
      <c r="AT424" s="175" t="e">
        <f t="shared" si="451"/>
        <v>#DIV/0!</v>
      </c>
      <c r="AU424" s="175" t="e">
        <f t="shared" si="452"/>
        <v>#DIV/0!</v>
      </c>
      <c r="AV424" s="175">
        <f t="shared" si="428"/>
        <v>1</v>
      </c>
    </row>
    <row r="425" spans="1:49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429"/>
        <v>0</v>
      </c>
      <c r="P425" s="9"/>
      <c r="R425" s="7"/>
      <c r="S425" s="8"/>
      <c r="T425" s="9"/>
      <c r="U425" s="9">
        <v>0</v>
      </c>
      <c r="V425" s="9">
        <v>0</v>
      </c>
      <c r="W425" s="261">
        <v>0</v>
      </c>
      <c r="X425" s="21"/>
      <c r="Y425" s="21"/>
      <c r="Z425" s="21"/>
      <c r="AA425" s="21"/>
      <c r="AB425" s="21"/>
      <c r="AC425" s="21"/>
      <c r="AD425" s="21"/>
      <c r="AE425" s="21"/>
      <c r="AF425" s="261">
        <f t="shared" si="439"/>
        <v>0</v>
      </c>
      <c r="AG425" s="9">
        <f t="shared" si="442"/>
        <v>0</v>
      </c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81"/>
    </row>
    <row r="426" spans="1:49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429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f>+W428</f>
        <v>0</v>
      </c>
      <c r="X426" s="9"/>
      <c r="Y426" s="9"/>
      <c r="Z426" s="9"/>
      <c r="AA426" s="9"/>
      <c r="AB426" s="9"/>
      <c r="AC426" s="9"/>
      <c r="AD426" s="9"/>
      <c r="AE426" s="9"/>
      <c r="AF426" s="9">
        <f t="shared" si="439"/>
        <v>0</v>
      </c>
      <c r="AG426" s="21">
        <f t="shared" si="442"/>
        <v>0</v>
      </c>
      <c r="AI426" s="176" t="e">
        <f t="shared" si="430"/>
        <v>#DIV/0!</v>
      </c>
      <c r="AJ426" s="176" t="e">
        <f t="shared" si="416"/>
        <v>#DIV/0!</v>
      </c>
      <c r="AK426" s="176" t="e">
        <f t="shared" si="417"/>
        <v>#DIV/0!</v>
      </c>
      <c r="AL426" s="176" t="e">
        <f t="shared" ref="AL426:AU427" si="472">(F426-W425)/F426</f>
        <v>#DIV/0!</v>
      </c>
      <c r="AM426" s="176" t="e">
        <f t="shared" si="472"/>
        <v>#DIV/0!</v>
      </c>
      <c r="AN426" s="176" t="e">
        <f t="shared" si="472"/>
        <v>#DIV/0!</v>
      </c>
      <c r="AO426" s="176" t="e">
        <f t="shared" si="472"/>
        <v>#DIV/0!</v>
      </c>
      <c r="AP426" s="176" t="e">
        <f t="shared" si="472"/>
        <v>#DIV/0!</v>
      </c>
      <c r="AQ426" s="176">
        <f t="shared" si="472"/>
        <v>1</v>
      </c>
      <c r="AR426" s="176" t="e">
        <f t="shared" si="472"/>
        <v>#DIV/0!</v>
      </c>
      <c r="AS426" s="176" t="e">
        <f t="shared" si="472"/>
        <v>#DIV/0!</v>
      </c>
      <c r="AT426" s="176" t="e">
        <f t="shared" si="472"/>
        <v>#DIV/0!</v>
      </c>
      <c r="AU426" s="176" t="e">
        <f t="shared" si="472"/>
        <v>#DIV/0!</v>
      </c>
      <c r="AV426" s="176">
        <f t="shared" si="428"/>
        <v>1</v>
      </c>
    </row>
    <row r="427" spans="1:49" x14ac:dyDescent="0.25">
      <c r="A427" s="7">
        <v>3020302</v>
      </c>
      <c r="B427" s="8" t="s">
        <v>657</v>
      </c>
      <c r="C427" s="9">
        <f t="shared" ref="C427:N427" si="473">+C428</f>
        <v>25000000</v>
      </c>
      <c r="D427" s="9">
        <f t="shared" si="473"/>
        <v>25000000</v>
      </c>
      <c r="E427" s="9">
        <f t="shared" si="473"/>
        <v>25000000</v>
      </c>
      <c r="F427" s="9">
        <f t="shared" si="473"/>
        <v>25000000</v>
      </c>
      <c r="G427" s="9">
        <f t="shared" si="473"/>
        <v>25000000</v>
      </c>
      <c r="H427" s="9">
        <f t="shared" si="473"/>
        <v>25000000</v>
      </c>
      <c r="I427" s="9">
        <f t="shared" si="473"/>
        <v>25000000</v>
      </c>
      <c r="J427" s="9">
        <f t="shared" si="473"/>
        <v>25000000</v>
      </c>
      <c r="K427" s="9">
        <f t="shared" si="473"/>
        <v>25000000</v>
      </c>
      <c r="L427" s="9">
        <f t="shared" si="473"/>
        <v>25000000</v>
      </c>
      <c r="M427" s="9">
        <f t="shared" si="473"/>
        <v>25000000</v>
      </c>
      <c r="N427" s="9">
        <f t="shared" si="473"/>
        <v>25000000</v>
      </c>
      <c r="O427" s="9">
        <f t="shared" si="429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>
        <f t="shared" si="442"/>
        <v>0</v>
      </c>
      <c r="AI427" s="175">
        <f t="shared" si="430"/>
        <v>1</v>
      </c>
      <c r="AJ427" s="175">
        <f t="shared" si="416"/>
        <v>1</v>
      </c>
      <c r="AK427" s="175">
        <f t="shared" si="417"/>
        <v>1</v>
      </c>
      <c r="AL427" s="175">
        <f t="shared" si="472"/>
        <v>1</v>
      </c>
      <c r="AM427" s="175">
        <f t="shared" si="472"/>
        <v>1</v>
      </c>
      <c r="AN427" s="175">
        <f t="shared" si="472"/>
        <v>1</v>
      </c>
      <c r="AO427" s="175">
        <f t="shared" si="472"/>
        <v>1</v>
      </c>
      <c r="AP427" s="175">
        <f t="shared" si="472"/>
        <v>1</v>
      </c>
      <c r="AQ427" s="175">
        <f t="shared" si="472"/>
        <v>1</v>
      </c>
      <c r="AR427" s="175">
        <f t="shared" si="472"/>
        <v>1</v>
      </c>
      <c r="AS427" s="175">
        <f t="shared" si="472"/>
        <v>1</v>
      </c>
      <c r="AT427" s="175">
        <f t="shared" si="472"/>
        <v>1</v>
      </c>
      <c r="AU427" s="175">
        <f t="shared" si="472"/>
        <v>1</v>
      </c>
      <c r="AV427" s="175">
        <f t="shared" si="428"/>
        <v>1</v>
      </c>
    </row>
    <row r="428" spans="1:49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429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61">
        <v>0</v>
      </c>
      <c r="X428" s="21"/>
      <c r="Y428" s="21"/>
      <c r="Z428" s="21"/>
      <c r="AA428" s="21"/>
      <c r="AB428" s="21"/>
      <c r="AC428" s="21"/>
      <c r="AD428" s="21"/>
      <c r="AE428" s="21"/>
      <c r="AF428" s="261">
        <f t="shared" ref="AF428:AF459" si="474">+T428+U428+V428+W428</f>
        <v>0</v>
      </c>
      <c r="AG428" s="21">
        <f t="shared" ref="AG428:AG459" si="475">+T428+U428+V428+W428</f>
        <v>0</v>
      </c>
      <c r="AI428" s="176">
        <f t="shared" si="430"/>
        <v>1</v>
      </c>
      <c r="AJ428" s="176">
        <f t="shared" si="416"/>
        <v>1</v>
      </c>
      <c r="AK428" s="176">
        <f t="shared" si="417"/>
        <v>1</v>
      </c>
      <c r="AL428" s="176">
        <f t="shared" ref="AL428:AL438" si="476">(F428-W428)/F428</f>
        <v>1</v>
      </c>
      <c r="AM428" s="176">
        <f t="shared" ref="AM428:AM438" si="477">(G428-X428)/G428</f>
        <v>1</v>
      </c>
      <c r="AN428" s="176">
        <f t="shared" ref="AN428:AN438" si="478">(H428-Y428)/H428</f>
        <v>1</v>
      </c>
      <c r="AO428" s="176">
        <f t="shared" ref="AO428:AO438" si="479">(I428-Z428)/I428</f>
        <v>1</v>
      </c>
      <c r="AP428" s="176">
        <f t="shared" ref="AP428:AP438" si="480">(J428-AA428)/J428</f>
        <v>1</v>
      </c>
      <c r="AQ428" s="176">
        <f t="shared" ref="AQ428:AQ438" si="481">(K428-AB428)/K428</f>
        <v>1</v>
      </c>
      <c r="AR428" s="176">
        <f t="shared" ref="AR428:AR438" si="482">(L428-AC428)/L428</f>
        <v>1</v>
      </c>
      <c r="AS428" s="176">
        <f t="shared" ref="AS428:AS438" si="483">(M428-AD428)/M428</f>
        <v>1</v>
      </c>
      <c r="AT428" s="176">
        <f t="shared" ref="AT428:AT438" si="484">(N428-AE428)/N428</f>
        <v>1</v>
      </c>
      <c r="AU428" s="176">
        <f t="shared" ref="AU428:AU438" si="485">(O428-AF428)/O428</f>
        <v>1</v>
      </c>
      <c r="AV428" s="176">
        <f t="shared" si="428"/>
        <v>1</v>
      </c>
    </row>
    <row r="429" spans="1:49" x14ac:dyDescent="0.25">
      <c r="A429" s="4">
        <v>303</v>
      </c>
      <c r="B429" s="5" t="s">
        <v>659</v>
      </c>
      <c r="C429" s="6">
        <f t="shared" ref="C429:N429" si="486">+C430</f>
        <v>9166666.666666666</v>
      </c>
      <c r="D429" s="6">
        <f t="shared" si="486"/>
        <v>24166666.666666664</v>
      </c>
      <c r="E429" s="6">
        <f t="shared" si="486"/>
        <v>9166666.666666666</v>
      </c>
      <c r="F429" s="6">
        <f t="shared" si="486"/>
        <v>5833333.333333333</v>
      </c>
      <c r="G429" s="6">
        <f t="shared" si="486"/>
        <v>5833333.333333333</v>
      </c>
      <c r="H429" s="6">
        <f t="shared" si="486"/>
        <v>5833333.333333333</v>
      </c>
      <c r="I429" s="6">
        <f t="shared" si="486"/>
        <v>0</v>
      </c>
      <c r="J429" s="6">
        <f t="shared" si="486"/>
        <v>0</v>
      </c>
      <c r="K429" s="6">
        <f t="shared" si="486"/>
        <v>35000000</v>
      </c>
      <c r="L429" s="6">
        <f t="shared" si="486"/>
        <v>0</v>
      </c>
      <c r="M429" s="6">
        <f t="shared" si="486"/>
        <v>0</v>
      </c>
      <c r="N429" s="6">
        <f t="shared" si="486"/>
        <v>0</v>
      </c>
      <c r="O429" s="6">
        <f t="shared" si="429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f t="shared" ref="W429" si="487">+W430</f>
        <v>0</v>
      </c>
      <c r="X429" s="6"/>
      <c r="Y429" s="6"/>
      <c r="Z429" s="6"/>
      <c r="AA429" s="6"/>
      <c r="AB429" s="6"/>
      <c r="AC429" s="6"/>
      <c r="AD429" s="6"/>
      <c r="AE429" s="6"/>
      <c r="AF429" s="6">
        <f t="shared" si="474"/>
        <v>0</v>
      </c>
      <c r="AG429" s="6">
        <f t="shared" si="475"/>
        <v>0</v>
      </c>
      <c r="AI429" s="174">
        <f t="shared" si="430"/>
        <v>1</v>
      </c>
      <c r="AJ429" s="174">
        <f t="shared" si="416"/>
        <v>1</v>
      </c>
      <c r="AK429" s="174">
        <f t="shared" si="417"/>
        <v>1</v>
      </c>
      <c r="AL429" s="174">
        <f t="shared" si="476"/>
        <v>1</v>
      </c>
      <c r="AM429" s="174">
        <f t="shared" si="477"/>
        <v>1</v>
      </c>
      <c r="AN429" s="174">
        <f t="shared" si="478"/>
        <v>1</v>
      </c>
      <c r="AO429" s="174" t="e">
        <f t="shared" si="479"/>
        <v>#DIV/0!</v>
      </c>
      <c r="AP429" s="174" t="e">
        <f t="shared" si="480"/>
        <v>#DIV/0!</v>
      </c>
      <c r="AQ429" s="174">
        <f t="shared" si="481"/>
        <v>1</v>
      </c>
      <c r="AR429" s="174" t="e">
        <f t="shared" si="482"/>
        <v>#DIV/0!</v>
      </c>
      <c r="AS429" s="174" t="e">
        <f t="shared" si="483"/>
        <v>#DIV/0!</v>
      </c>
      <c r="AT429" s="174" t="e">
        <f t="shared" si="484"/>
        <v>#DIV/0!</v>
      </c>
      <c r="AU429" s="174">
        <f t="shared" si="485"/>
        <v>1</v>
      </c>
      <c r="AV429" s="174">
        <f t="shared" si="428"/>
        <v>1</v>
      </c>
    </row>
    <row r="430" spans="1:49" x14ac:dyDescent="0.25">
      <c r="A430" s="4">
        <v>30301</v>
      </c>
      <c r="B430" s="5" t="s">
        <v>660</v>
      </c>
      <c r="C430" s="6">
        <f t="shared" ref="C430:N430" si="488">+C431+C437</f>
        <v>9166666.666666666</v>
      </c>
      <c r="D430" s="6">
        <f t="shared" si="488"/>
        <v>24166666.666666664</v>
      </c>
      <c r="E430" s="6">
        <f t="shared" si="488"/>
        <v>9166666.666666666</v>
      </c>
      <c r="F430" s="6">
        <f t="shared" si="488"/>
        <v>5833333.333333333</v>
      </c>
      <c r="G430" s="6">
        <f t="shared" si="488"/>
        <v>5833333.333333333</v>
      </c>
      <c r="H430" s="6">
        <f t="shared" si="488"/>
        <v>5833333.333333333</v>
      </c>
      <c r="I430" s="6">
        <f t="shared" si="488"/>
        <v>0</v>
      </c>
      <c r="J430" s="6">
        <f t="shared" si="488"/>
        <v>0</v>
      </c>
      <c r="K430" s="6">
        <f t="shared" si="488"/>
        <v>35000000</v>
      </c>
      <c r="L430" s="6">
        <f t="shared" si="488"/>
        <v>0</v>
      </c>
      <c r="M430" s="6">
        <f t="shared" si="488"/>
        <v>0</v>
      </c>
      <c r="N430" s="6">
        <f t="shared" si="488"/>
        <v>0</v>
      </c>
      <c r="O430" s="6">
        <f t="shared" si="429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f t="shared" ref="W430" si="489">+W431+W437</f>
        <v>0</v>
      </c>
      <c r="X430" s="6"/>
      <c r="Y430" s="6"/>
      <c r="Z430" s="6"/>
      <c r="AA430" s="6"/>
      <c r="AB430" s="6"/>
      <c r="AC430" s="6"/>
      <c r="AD430" s="6"/>
      <c r="AE430" s="6"/>
      <c r="AF430" s="6">
        <f t="shared" si="474"/>
        <v>0</v>
      </c>
      <c r="AG430" s="6">
        <f t="shared" si="475"/>
        <v>0</v>
      </c>
      <c r="AI430" s="174">
        <f t="shared" si="430"/>
        <v>1</v>
      </c>
      <c r="AJ430" s="174">
        <f t="shared" si="416"/>
        <v>1</v>
      </c>
      <c r="AK430" s="174">
        <f t="shared" si="417"/>
        <v>1</v>
      </c>
      <c r="AL430" s="174">
        <f t="shared" si="476"/>
        <v>1</v>
      </c>
      <c r="AM430" s="174">
        <f t="shared" si="477"/>
        <v>1</v>
      </c>
      <c r="AN430" s="174">
        <f t="shared" si="478"/>
        <v>1</v>
      </c>
      <c r="AO430" s="174" t="e">
        <f t="shared" si="479"/>
        <v>#DIV/0!</v>
      </c>
      <c r="AP430" s="174" t="e">
        <f t="shared" si="480"/>
        <v>#DIV/0!</v>
      </c>
      <c r="AQ430" s="174">
        <f t="shared" si="481"/>
        <v>1</v>
      </c>
      <c r="AR430" s="174" t="e">
        <f t="shared" si="482"/>
        <v>#DIV/0!</v>
      </c>
      <c r="AS430" s="174" t="e">
        <f t="shared" si="483"/>
        <v>#DIV/0!</v>
      </c>
      <c r="AT430" s="174" t="e">
        <f t="shared" si="484"/>
        <v>#DIV/0!</v>
      </c>
      <c r="AU430" s="174">
        <f t="shared" si="485"/>
        <v>1</v>
      </c>
      <c r="AV430" s="174">
        <f t="shared" si="428"/>
        <v>1</v>
      </c>
    </row>
    <row r="431" spans="1:49" x14ac:dyDescent="0.25">
      <c r="A431" s="7">
        <v>3030101</v>
      </c>
      <c r="B431" s="8" t="s">
        <v>912</v>
      </c>
      <c r="C431" s="9">
        <f t="shared" ref="C431:N431" si="490">+C432</f>
        <v>9166666.666666666</v>
      </c>
      <c r="D431" s="9">
        <f t="shared" si="490"/>
        <v>9166666.666666666</v>
      </c>
      <c r="E431" s="9">
        <f t="shared" si="490"/>
        <v>9166666.666666666</v>
      </c>
      <c r="F431" s="9">
        <f t="shared" si="490"/>
        <v>5833333.333333333</v>
      </c>
      <c r="G431" s="9">
        <f t="shared" si="490"/>
        <v>5833333.333333333</v>
      </c>
      <c r="H431" s="9">
        <f t="shared" si="490"/>
        <v>5833333.333333333</v>
      </c>
      <c r="I431" s="9">
        <f t="shared" si="490"/>
        <v>0</v>
      </c>
      <c r="J431" s="9">
        <f t="shared" si="490"/>
        <v>0</v>
      </c>
      <c r="K431" s="9">
        <f t="shared" si="490"/>
        <v>35000000</v>
      </c>
      <c r="L431" s="9">
        <f t="shared" si="490"/>
        <v>0</v>
      </c>
      <c r="M431" s="9">
        <f t="shared" si="490"/>
        <v>0</v>
      </c>
      <c r="N431" s="9">
        <f t="shared" si="490"/>
        <v>0</v>
      </c>
      <c r="O431" s="9">
        <f t="shared" si="429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f t="shared" ref="W431" si="491">+W432</f>
        <v>0</v>
      </c>
      <c r="X431" s="9"/>
      <c r="Y431" s="9"/>
      <c r="Z431" s="9"/>
      <c r="AA431" s="9"/>
      <c r="AB431" s="9"/>
      <c r="AC431" s="9"/>
      <c r="AD431" s="9"/>
      <c r="AE431" s="9"/>
      <c r="AF431" s="9">
        <f t="shared" si="474"/>
        <v>0</v>
      </c>
      <c r="AG431" s="9">
        <f t="shared" si="475"/>
        <v>0</v>
      </c>
      <c r="AI431" s="175">
        <f t="shared" si="430"/>
        <v>1</v>
      </c>
      <c r="AJ431" s="175">
        <f t="shared" si="416"/>
        <v>1</v>
      </c>
      <c r="AK431" s="175">
        <f t="shared" si="417"/>
        <v>1</v>
      </c>
      <c r="AL431" s="175">
        <f t="shared" si="476"/>
        <v>1</v>
      </c>
      <c r="AM431" s="175">
        <f t="shared" si="477"/>
        <v>1</v>
      </c>
      <c r="AN431" s="175">
        <f t="shared" si="478"/>
        <v>1</v>
      </c>
      <c r="AO431" s="175" t="e">
        <f t="shared" si="479"/>
        <v>#DIV/0!</v>
      </c>
      <c r="AP431" s="175" t="e">
        <f t="shared" si="480"/>
        <v>#DIV/0!</v>
      </c>
      <c r="AQ431" s="175">
        <f t="shared" si="481"/>
        <v>1</v>
      </c>
      <c r="AR431" s="175" t="e">
        <f t="shared" si="482"/>
        <v>#DIV/0!</v>
      </c>
      <c r="AS431" s="175" t="e">
        <f t="shared" si="483"/>
        <v>#DIV/0!</v>
      </c>
      <c r="AT431" s="175" t="e">
        <f t="shared" si="484"/>
        <v>#DIV/0!</v>
      </c>
      <c r="AU431" s="175">
        <f t="shared" si="485"/>
        <v>1</v>
      </c>
      <c r="AV431" s="175">
        <f t="shared" si="428"/>
        <v>1</v>
      </c>
    </row>
    <row r="432" spans="1:49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492">+D433+D434+D435+D436</f>
        <v>9166666.666666666</v>
      </c>
      <c r="E432" s="9">
        <f t="shared" si="492"/>
        <v>9166666.666666666</v>
      </c>
      <c r="F432" s="9">
        <f t="shared" si="492"/>
        <v>5833333.333333333</v>
      </c>
      <c r="G432" s="9">
        <f t="shared" si="492"/>
        <v>5833333.333333333</v>
      </c>
      <c r="H432" s="9">
        <f t="shared" si="492"/>
        <v>5833333.333333333</v>
      </c>
      <c r="I432" s="9">
        <f t="shared" si="492"/>
        <v>0</v>
      </c>
      <c r="J432" s="9">
        <f t="shared" si="492"/>
        <v>0</v>
      </c>
      <c r="K432" s="9">
        <f t="shared" si="492"/>
        <v>35000000</v>
      </c>
      <c r="L432" s="9">
        <f t="shared" si="492"/>
        <v>0</v>
      </c>
      <c r="M432" s="9">
        <f t="shared" si="492"/>
        <v>0</v>
      </c>
      <c r="N432" s="9">
        <f t="shared" si="492"/>
        <v>0</v>
      </c>
      <c r="O432" s="9">
        <f t="shared" si="429"/>
        <v>33333333.333333332</v>
      </c>
      <c r="P432" s="9">
        <f t="shared" si="492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f t="shared" ref="W432" si="493">SUM(W433:W436)</f>
        <v>0</v>
      </c>
      <c r="X432" s="9"/>
      <c r="Y432" s="9"/>
      <c r="Z432" s="9"/>
      <c r="AA432" s="9"/>
      <c r="AB432" s="9"/>
      <c r="AC432" s="9"/>
      <c r="AD432" s="9"/>
      <c r="AE432" s="9"/>
      <c r="AF432" s="9">
        <f t="shared" si="474"/>
        <v>0</v>
      </c>
      <c r="AG432" s="9">
        <f t="shared" si="475"/>
        <v>0</v>
      </c>
      <c r="AI432" s="175">
        <f t="shared" si="430"/>
        <v>1</v>
      </c>
      <c r="AJ432" s="175">
        <f t="shared" si="416"/>
        <v>1</v>
      </c>
      <c r="AK432" s="175">
        <f t="shared" si="417"/>
        <v>1</v>
      </c>
      <c r="AL432" s="175">
        <f t="shared" si="476"/>
        <v>1</v>
      </c>
      <c r="AM432" s="175">
        <f t="shared" si="477"/>
        <v>1</v>
      </c>
      <c r="AN432" s="175">
        <f t="shared" si="478"/>
        <v>1</v>
      </c>
      <c r="AO432" s="175" t="e">
        <f t="shared" si="479"/>
        <v>#DIV/0!</v>
      </c>
      <c r="AP432" s="175" t="e">
        <f t="shared" si="480"/>
        <v>#DIV/0!</v>
      </c>
      <c r="AQ432" s="175">
        <f t="shared" si="481"/>
        <v>1</v>
      </c>
      <c r="AR432" s="175" t="e">
        <f t="shared" si="482"/>
        <v>#DIV/0!</v>
      </c>
      <c r="AS432" s="175" t="e">
        <f t="shared" si="483"/>
        <v>#DIV/0!</v>
      </c>
      <c r="AT432" s="175" t="e">
        <f t="shared" si="484"/>
        <v>#DIV/0!</v>
      </c>
      <c r="AU432" s="175">
        <f t="shared" si="485"/>
        <v>1</v>
      </c>
      <c r="AV432" s="175">
        <f t="shared" si="428"/>
        <v>1</v>
      </c>
    </row>
    <row r="433" spans="1:49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429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61">
        <v>0</v>
      </c>
      <c r="X433" s="21"/>
      <c r="Y433" s="21"/>
      <c r="Z433" s="21"/>
      <c r="AA433" s="21"/>
      <c r="AB433" s="21"/>
      <c r="AC433" s="21"/>
      <c r="AD433" s="21"/>
      <c r="AE433" s="21"/>
      <c r="AF433" s="261">
        <f t="shared" si="474"/>
        <v>0</v>
      </c>
      <c r="AG433" s="21">
        <f t="shared" si="475"/>
        <v>0</v>
      </c>
      <c r="AI433" s="176" t="e">
        <f t="shared" si="430"/>
        <v>#DIV/0!</v>
      </c>
      <c r="AJ433" s="176" t="e">
        <f t="shared" si="416"/>
        <v>#DIV/0!</v>
      </c>
      <c r="AK433" s="176" t="e">
        <f t="shared" si="417"/>
        <v>#DIV/0!</v>
      </c>
      <c r="AL433" s="176" t="e">
        <f t="shared" si="476"/>
        <v>#DIV/0!</v>
      </c>
      <c r="AM433" s="176" t="e">
        <f t="shared" si="477"/>
        <v>#DIV/0!</v>
      </c>
      <c r="AN433" s="176" t="e">
        <f t="shared" si="478"/>
        <v>#DIV/0!</v>
      </c>
      <c r="AO433" s="176" t="e">
        <f t="shared" si="479"/>
        <v>#DIV/0!</v>
      </c>
      <c r="AP433" s="176" t="e">
        <f t="shared" si="480"/>
        <v>#DIV/0!</v>
      </c>
      <c r="AQ433" s="176">
        <f t="shared" si="481"/>
        <v>1</v>
      </c>
      <c r="AR433" s="176" t="e">
        <f t="shared" si="482"/>
        <v>#DIV/0!</v>
      </c>
      <c r="AS433" s="176" t="e">
        <f t="shared" si="483"/>
        <v>#DIV/0!</v>
      </c>
      <c r="AT433" s="176" t="e">
        <f t="shared" si="484"/>
        <v>#DIV/0!</v>
      </c>
      <c r="AU433" s="176" t="e">
        <f t="shared" si="485"/>
        <v>#DIV/0!</v>
      </c>
      <c r="AV433" s="176">
        <f t="shared" si="428"/>
        <v>1</v>
      </c>
    </row>
    <row r="434" spans="1:49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429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61">
        <v>0</v>
      </c>
      <c r="X434" s="21"/>
      <c r="Y434" s="21"/>
      <c r="Z434" s="21"/>
      <c r="AA434" s="21"/>
      <c r="AB434" s="21"/>
      <c r="AC434" s="21"/>
      <c r="AD434" s="21"/>
      <c r="AE434" s="21"/>
      <c r="AF434" s="261">
        <f t="shared" si="474"/>
        <v>0</v>
      </c>
      <c r="AG434" s="21">
        <f t="shared" si="475"/>
        <v>0</v>
      </c>
      <c r="AI434" s="176">
        <f t="shared" si="430"/>
        <v>1</v>
      </c>
      <c r="AJ434" s="176">
        <f t="shared" si="416"/>
        <v>1</v>
      </c>
      <c r="AK434" s="176">
        <f t="shared" si="417"/>
        <v>1</v>
      </c>
      <c r="AL434" s="176" t="e">
        <f t="shared" si="476"/>
        <v>#DIV/0!</v>
      </c>
      <c r="AM434" s="176" t="e">
        <f t="shared" si="477"/>
        <v>#DIV/0!</v>
      </c>
      <c r="AN434" s="176" t="e">
        <f t="shared" si="478"/>
        <v>#DIV/0!</v>
      </c>
      <c r="AO434" s="176" t="e">
        <f t="shared" si="479"/>
        <v>#DIV/0!</v>
      </c>
      <c r="AP434" s="176" t="e">
        <f t="shared" si="480"/>
        <v>#DIV/0!</v>
      </c>
      <c r="AQ434" s="176" t="e">
        <f t="shared" si="481"/>
        <v>#DIV/0!</v>
      </c>
      <c r="AR434" s="176" t="e">
        <f t="shared" si="482"/>
        <v>#DIV/0!</v>
      </c>
      <c r="AS434" s="176" t="e">
        <f t="shared" si="483"/>
        <v>#DIV/0!</v>
      </c>
      <c r="AT434" s="176" t="e">
        <f t="shared" si="484"/>
        <v>#DIV/0!</v>
      </c>
      <c r="AU434" s="176">
        <f t="shared" si="485"/>
        <v>1</v>
      </c>
      <c r="AV434" s="176">
        <f t="shared" si="428"/>
        <v>1</v>
      </c>
    </row>
    <row r="435" spans="1:49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429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61">
        <v>0</v>
      </c>
      <c r="X435" s="21"/>
      <c r="Y435" s="21"/>
      <c r="Z435" s="21"/>
      <c r="AA435" s="21"/>
      <c r="AB435" s="21"/>
      <c r="AC435" s="21"/>
      <c r="AD435" s="21"/>
      <c r="AE435" s="21"/>
      <c r="AF435" s="261">
        <f t="shared" si="474"/>
        <v>0</v>
      </c>
      <c r="AG435" s="21">
        <f t="shared" si="475"/>
        <v>0</v>
      </c>
      <c r="AI435" s="176">
        <f t="shared" si="430"/>
        <v>1</v>
      </c>
      <c r="AJ435" s="176">
        <f t="shared" si="416"/>
        <v>1</v>
      </c>
      <c r="AK435" s="176">
        <f t="shared" si="417"/>
        <v>1</v>
      </c>
      <c r="AL435" s="176">
        <f t="shared" si="476"/>
        <v>1</v>
      </c>
      <c r="AM435" s="176">
        <f t="shared" si="477"/>
        <v>1</v>
      </c>
      <c r="AN435" s="176">
        <f t="shared" si="478"/>
        <v>1</v>
      </c>
      <c r="AO435" s="176" t="e">
        <f t="shared" si="479"/>
        <v>#DIV/0!</v>
      </c>
      <c r="AP435" s="176" t="e">
        <f t="shared" si="480"/>
        <v>#DIV/0!</v>
      </c>
      <c r="AQ435" s="176" t="e">
        <f t="shared" si="481"/>
        <v>#DIV/0!</v>
      </c>
      <c r="AR435" s="176" t="e">
        <f t="shared" si="482"/>
        <v>#DIV/0!</v>
      </c>
      <c r="AS435" s="176" t="e">
        <f t="shared" si="483"/>
        <v>#DIV/0!</v>
      </c>
      <c r="AT435" s="176" t="e">
        <f t="shared" si="484"/>
        <v>#DIV/0!</v>
      </c>
      <c r="AU435" s="176">
        <f t="shared" si="485"/>
        <v>1</v>
      </c>
      <c r="AV435" s="176">
        <f t="shared" si="428"/>
        <v>1</v>
      </c>
    </row>
    <row r="436" spans="1:49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429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61">
        <v>0</v>
      </c>
      <c r="X436" s="21"/>
      <c r="Y436" s="21"/>
      <c r="Z436" s="21"/>
      <c r="AA436" s="21"/>
      <c r="AB436" s="21"/>
      <c r="AC436" s="21"/>
      <c r="AD436" s="21"/>
      <c r="AE436" s="21"/>
      <c r="AF436" s="261">
        <f t="shared" si="474"/>
        <v>0</v>
      </c>
      <c r="AG436" s="21">
        <f t="shared" si="475"/>
        <v>0</v>
      </c>
      <c r="AI436" s="176" t="e">
        <f t="shared" si="430"/>
        <v>#DIV/0!</v>
      </c>
      <c r="AJ436" s="176" t="e">
        <f t="shared" si="416"/>
        <v>#DIV/0!</v>
      </c>
      <c r="AK436" s="176" t="e">
        <f t="shared" si="417"/>
        <v>#DIV/0!</v>
      </c>
      <c r="AL436" s="176" t="e">
        <f t="shared" si="476"/>
        <v>#DIV/0!</v>
      </c>
      <c r="AM436" s="176" t="e">
        <f t="shared" si="477"/>
        <v>#DIV/0!</v>
      </c>
      <c r="AN436" s="176" t="e">
        <f t="shared" si="478"/>
        <v>#DIV/0!</v>
      </c>
      <c r="AO436" s="176" t="e">
        <f t="shared" si="479"/>
        <v>#DIV/0!</v>
      </c>
      <c r="AP436" s="176" t="e">
        <f t="shared" si="480"/>
        <v>#DIV/0!</v>
      </c>
      <c r="AQ436" s="176" t="e">
        <f t="shared" si="481"/>
        <v>#DIV/0!</v>
      </c>
      <c r="AR436" s="176" t="e">
        <f t="shared" si="482"/>
        <v>#DIV/0!</v>
      </c>
      <c r="AS436" s="176" t="e">
        <f t="shared" si="483"/>
        <v>#DIV/0!</v>
      </c>
      <c r="AT436" s="176" t="e">
        <f t="shared" si="484"/>
        <v>#DIV/0!</v>
      </c>
      <c r="AU436" s="176" t="e">
        <f t="shared" si="485"/>
        <v>#DIV/0!</v>
      </c>
      <c r="AV436" s="176" t="e">
        <f t="shared" si="428"/>
        <v>#DIV/0!</v>
      </c>
    </row>
    <row r="437" spans="1:49" x14ac:dyDescent="0.25">
      <c r="A437" s="7">
        <v>3030102</v>
      </c>
      <c r="B437" s="8" t="s">
        <v>915</v>
      </c>
      <c r="C437" s="9">
        <f t="shared" ref="C437:N437" si="494">+C438</f>
        <v>0</v>
      </c>
      <c r="D437" s="9">
        <f t="shared" si="494"/>
        <v>15000000</v>
      </c>
      <c r="E437" s="9">
        <f t="shared" si="494"/>
        <v>0</v>
      </c>
      <c r="F437" s="9">
        <f t="shared" si="494"/>
        <v>0</v>
      </c>
      <c r="G437" s="9">
        <f t="shared" si="494"/>
        <v>0</v>
      </c>
      <c r="H437" s="9">
        <f t="shared" si="494"/>
        <v>0</v>
      </c>
      <c r="I437" s="9">
        <f t="shared" si="494"/>
        <v>0</v>
      </c>
      <c r="J437" s="9">
        <f t="shared" si="494"/>
        <v>0</v>
      </c>
      <c r="K437" s="9">
        <f t="shared" si="494"/>
        <v>0</v>
      </c>
      <c r="L437" s="9">
        <f t="shared" si="494"/>
        <v>0</v>
      </c>
      <c r="M437" s="9">
        <f t="shared" si="494"/>
        <v>0</v>
      </c>
      <c r="N437" s="9">
        <f t="shared" si="494"/>
        <v>0</v>
      </c>
      <c r="O437" s="9">
        <f t="shared" si="429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f t="shared" ref="W437" si="495">+W438</f>
        <v>0</v>
      </c>
      <c r="X437" s="9"/>
      <c r="Y437" s="9"/>
      <c r="Z437" s="9"/>
      <c r="AA437" s="9"/>
      <c r="AB437" s="9"/>
      <c r="AC437" s="9"/>
      <c r="AD437" s="9"/>
      <c r="AE437" s="9"/>
      <c r="AF437" s="9">
        <f t="shared" si="474"/>
        <v>0</v>
      </c>
      <c r="AG437" s="9">
        <f t="shared" si="475"/>
        <v>0</v>
      </c>
      <c r="AI437" s="175" t="e">
        <f t="shared" si="430"/>
        <v>#DIV/0!</v>
      </c>
      <c r="AJ437" s="175">
        <f t="shared" si="416"/>
        <v>1</v>
      </c>
      <c r="AK437" s="175" t="e">
        <f t="shared" si="417"/>
        <v>#DIV/0!</v>
      </c>
      <c r="AL437" s="175" t="e">
        <f t="shared" si="476"/>
        <v>#DIV/0!</v>
      </c>
      <c r="AM437" s="175" t="e">
        <f t="shared" si="477"/>
        <v>#DIV/0!</v>
      </c>
      <c r="AN437" s="175" t="e">
        <f t="shared" si="478"/>
        <v>#DIV/0!</v>
      </c>
      <c r="AO437" s="175" t="e">
        <f t="shared" si="479"/>
        <v>#DIV/0!</v>
      </c>
      <c r="AP437" s="175" t="e">
        <f t="shared" si="480"/>
        <v>#DIV/0!</v>
      </c>
      <c r="AQ437" s="175" t="e">
        <f t="shared" si="481"/>
        <v>#DIV/0!</v>
      </c>
      <c r="AR437" s="175" t="e">
        <f t="shared" si="482"/>
        <v>#DIV/0!</v>
      </c>
      <c r="AS437" s="175" t="e">
        <f t="shared" si="483"/>
        <v>#DIV/0!</v>
      </c>
      <c r="AT437" s="175" t="e">
        <f t="shared" si="484"/>
        <v>#DIV/0!</v>
      </c>
      <c r="AU437" s="175">
        <f t="shared" si="485"/>
        <v>1</v>
      </c>
      <c r="AV437" s="175">
        <f t="shared" si="428"/>
        <v>1</v>
      </c>
    </row>
    <row r="438" spans="1:49" s="181" customFormat="1" x14ac:dyDescent="0.25">
      <c r="A438" s="7">
        <v>303010201</v>
      </c>
      <c r="B438" s="8" t="s">
        <v>668</v>
      </c>
      <c r="C438" s="9">
        <f t="shared" ref="C438:N438" si="496">+C440</f>
        <v>0</v>
      </c>
      <c r="D438" s="9">
        <f t="shared" si="496"/>
        <v>15000000</v>
      </c>
      <c r="E438" s="9">
        <f t="shared" si="496"/>
        <v>0</v>
      </c>
      <c r="F438" s="9">
        <f t="shared" si="496"/>
        <v>0</v>
      </c>
      <c r="G438" s="9">
        <f t="shared" si="496"/>
        <v>0</v>
      </c>
      <c r="H438" s="9">
        <f t="shared" si="496"/>
        <v>0</v>
      </c>
      <c r="I438" s="9">
        <f t="shared" si="496"/>
        <v>0</v>
      </c>
      <c r="J438" s="9">
        <f t="shared" si="496"/>
        <v>0</v>
      </c>
      <c r="K438" s="9">
        <f t="shared" si="496"/>
        <v>0</v>
      </c>
      <c r="L438" s="9">
        <f t="shared" si="496"/>
        <v>0</v>
      </c>
      <c r="M438" s="9">
        <f t="shared" si="496"/>
        <v>0</v>
      </c>
      <c r="N438" s="9">
        <f t="shared" si="496"/>
        <v>0</v>
      </c>
      <c r="O438" s="9">
        <f t="shared" si="429"/>
        <v>15000000</v>
      </c>
      <c r="P438" s="9">
        <v>15000000</v>
      </c>
      <c r="Q438" s="195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f t="shared" ref="W438" si="497">+W439+W440</f>
        <v>0</v>
      </c>
      <c r="X438" s="9"/>
      <c r="Y438" s="9"/>
      <c r="Z438" s="9"/>
      <c r="AA438" s="9"/>
      <c r="AB438" s="9"/>
      <c r="AC438" s="9"/>
      <c r="AD438" s="9"/>
      <c r="AE438" s="9"/>
      <c r="AF438" s="9">
        <f t="shared" si="474"/>
        <v>114817648.2</v>
      </c>
      <c r="AG438" s="9">
        <f t="shared" si="475"/>
        <v>114817648.2</v>
      </c>
      <c r="AH438" s="195"/>
      <c r="AI438" s="175" t="e">
        <f t="shared" si="430"/>
        <v>#DIV/0!</v>
      </c>
      <c r="AJ438" s="175">
        <f t="shared" si="416"/>
        <v>-6.65450988</v>
      </c>
      <c r="AK438" s="175" t="e">
        <f t="shared" si="417"/>
        <v>#DIV/0!</v>
      </c>
      <c r="AL438" s="175" t="e">
        <f t="shared" si="476"/>
        <v>#DIV/0!</v>
      </c>
      <c r="AM438" s="175" t="e">
        <f t="shared" si="477"/>
        <v>#DIV/0!</v>
      </c>
      <c r="AN438" s="175" t="e">
        <f t="shared" si="478"/>
        <v>#DIV/0!</v>
      </c>
      <c r="AO438" s="175" t="e">
        <f t="shared" si="479"/>
        <v>#DIV/0!</v>
      </c>
      <c r="AP438" s="175" t="e">
        <f t="shared" si="480"/>
        <v>#DIV/0!</v>
      </c>
      <c r="AQ438" s="175" t="e">
        <f t="shared" si="481"/>
        <v>#DIV/0!</v>
      </c>
      <c r="AR438" s="175" t="e">
        <f t="shared" si="482"/>
        <v>#DIV/0!</v>
      </c>
      <c r="AS438" s="175" t="e">
        <f t="shared" si="483"/>
        <v>#DIV/0!</v>
      </c>
      <c r="AT438" s="175" t="e">
        <f t="shared" si="484"/>
        <v>#DIV/0!</v>
      </c>
      <c r="AU438" s="175">
        <f t="shared" si="485"/>
        <v>-6.65450988</v>
      </c>
      <c r="AV438" s="175">
        <f t="shared" si="428"/>
        <v>-6.65450988</v>
      </c>
      <c r="AW438"/>
    </row>
    <row r="439" spans="1:49" x14ac:dyDescent="0.25">
      <c r="A439" s="185">
        <v>30301020101</v>
      </c>
      <c r="B439" s="182" t="s">
        <v>669</v>
      </c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>
        <f t="shared" si="429"/>
        <v>0</v>
      </c>
      <c r="P439" s="184"/>
      <c r="R439" s="185"/>
      <c r="S439" s="182"/>
      <c r="T439" s="184"/>
      <c r="U439" s="184">
        <v>114817648.2</v>
      </c>
      <c r="V439" s="184">
        <v>0</v>
      </c>
      <c r="W439" s="261">
        <v>0</v>
      </c>
      <c r="X439" s="184"/>
      <c r="Y439" s="184"/>
      <c r="Z439" s="184"/>
      <c r="AA439" s="184"/>
      <c r="AB439" s="184"/>
      <c r="AC439" s="184"/>
      <c r="AD439" s="184"/>
      <c r="AE439" s="184"/>
      <c r="AF439" s="261">
        <f t="shared" si="474"/>
        <v>114817648.2</v>
      </c>
      <c r="AG439" s="184">
        <f t="shared" si="475"/>
        <v>114817648.2</v>
      </c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6"/>
      <c r="AT439" s="176"/>
      <c r="AU439" s="176"/>
      <c r="AV439" s="176"/>
      <c r="AW439" s="181"/>
    </row>
    <row r="440" spans="1:49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429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61">
        <v>0</v>
      </c>
      <c r="X440" s="21"/>
      <c r="Y440" s="21"/>
      <c r="Z440" s="21"/>
      <c r="AA440" s="21"/>
      <c r="AB440" s="21"/>
      <c r="AC440" s="21"/>
      <c r="AD440" s="21"/>
      <c r="AE440" s="21"/>
      <c r="AF440" s="261">
        <f t="shared" si="474"/>
        <v>114817648.2</v>
      </c>
      <c r="AG440" s="21">
        <f t="shared" si="475"/>
        <v>114817648.2</v>
      </c>
      <c r="AI440" s="176" t="e">
        <f t="shared" si="430"/>
        <v>#DIV/0!</v>
      </c>
      <c r="AJ440" s="176">
        <f t="shared" si="416"/>
        <v>-6.65450988</v>
      </c>
      <c r="AK440" s="176" t="e">
        <f t="shared" si="417"/>
        <v>#DIV/0!</v>
      </c>
      <c r="AL440" s="176" t="e">
        <f t="shared" ref="AL440:AL465" si="498">(F440-W440)/F440</f>
        <v>#DIV/0!</v>
      </c>
      <c r="AM440" s="176" t="e">
        <f t="shared" ref="AM440:AM465" si="499">(G440-X440)/G440</f>
        <v>#DIV/0!</v>
      </c>
      <c r="AN440" s="176" t="e">
        <f t="shared" ref="AN440:AN465" si="500">(H440-Y440)/H440</f>
        <v>#DIV/0!</v>
      </c>
      <c r="AO440" s="176" t="e">
        <f t="shared" ref="AO440:AO465" si="501">(I440-Z440)/I440</f>
        <v>#DIV/0!</v>
      </c>
      <c r="AP440" s="176" t="e">
        <f t="shared" ref="AP440:AP465" si="502">(J440-AA440)/J440</f>
        <v>#DIV/0!</v>
      </c>
      <c r="AQ440" s="176" t="e">
        <f t="shared" ref="AQ440:AQ465" si="503">(K440-AB440)/K440</f>
        <v>#DIV/0!</v>
      </c>
      <c r="AR440" s="176" t="e">
        <f t="shared" ref="AR440:AR465" si="504">(L440-AC440)/L440</f>
        <v>#DIV/0!</v>
      </c>
      <c r="AS440" s="176" t="e">
        <f t="shared" ref="AS440:AS465" si="505">(M440-AD440)/M440</f>
        <v>#DIV/0!</v>
      </c>
      <c r="AT440" s="176" t="e">
        <f t="shared" ref="AT440:AT465" si="506">(N440-AE440)/N440</f>
        <v>#DIV/0!</v>
      </c>
      <c r="AU440" s="176">
        <f t="shared" ref="AU440:AU465" si="507">(O440-AF440)/O440</f>
        <v>-6.65450988</v>
      </c>
      <c r="AV440" s="176">
        <f t="shared" si="428"/>
        <v>-6.65450988</v>
      </c>
    </row>
    <row r="441" spans="1:49" x14ac:dyDescent="0.25">
      <c r="A441" s="4">
        <v>304</v>
      </c>
      <c r="B441" s="5" t="s">
        <v>671</v>
      </c>
      <c r="C441" s="6">
        <f t="shared" ref="C441:N441" si="508">+C442+C462</f>
        <v>887083333.33333325</v>
      </c>
      <c r="D441" s="6">
        <f t="shared" si="508"/>
        <v>887083333.33333325</v>
      </c>
      <c r="E441" s="6">
        <f t="shared" si="508"/>
        <v>887083333.33333325</v>
      </c>
      <c r="F441" s="6">
        <f t="shared" si="508"/>
        <v>163146203.66666666</v>
      </c>
      <c r="G441" s="6">
        <f t="shared" si="508"/>
        <v>42916666.666666664</v>
      </c>
      <c r="H441" s="6">
        <f t="shared" si="508"/>
        <v>42916666.666666664</v>
      </c>
      <c r="I441" s="6">
        <f t="shared" si="508"/>
        <v>42916666.666666664</v>
      </c>
      <c r="J441" s="6">
        <f t="shared" si="508"/>
        <v>1797094661.6666667</v>
      </c>
      <c r="K441" s="6">
        <f t="shared" si="508"/>
        <v>42916666.666666664</v>
      </c>
      <c r="L441" s="6">
        <f t="shared" si="508"/>
        <v>42916666.666666664</v>
      </c>
      <c r="M441" s="6">
        <f t="shared" si="508"/>
        <v>42916666.666666664</v>
      </c>
      <c r="N441" s="6">
        <f t="shared" si="508"/>
        <v>42916666.666666664</v>
      </c>
      <c r="O441" s="6">
        <f t="shared" si="429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f t="shared" ref="W441" si="509">+W442+W462</f>
        <v>158880097.30000001</v>
      </c>
      <c r="X441" s="6"/>
      <c r="Y441" s="6"/>
      <c r="Z441" s="6"/>
      <c r="AA441" s="6"/>
      <c r="AB441" s="6"/>
      <c r="AC441" s="6"/>
      <c r="AD441" s="6"/>
      <c r="AE441" s="6"/>
      <c r="AF441" s="6">
        <f t="shared" si="474"/>
        <v>729239658.83999991</v>
      </c>
      <c r="AG441" s="6">
        <f t="shared" si="475"/>
        <v>729239658.83999991</v>
      </c>
      <c r="AI441" s="174">
        <f t="shared" si="430"/>
        <v>0.74313768097322686</v>
      </c>
      <c r="AJ441" s="174">
        <f t="shared" si="416"/>
        <v>1</v>
      </c>
      <c r="AK441" s="174">
        <f t="shared" si="417"/>
        <v>0.61390179873743533</v>
      </c>
      <c r="AL441" s="174">
        <f t="shared" si="498"/>
        <v>2.6148977241192636E-2</v>
      </c>
      <c r="AM441" s="174">
        <f t="shared" si="499"/>
        <v>1</v>
      </c>
      <c r="AN441" s="174">
        <f t="shared" si="500"/>
        <v>1</v>
      </c>
      <c r="AO441" s="174">
        <f t="shared" si="501"/>
        <v>1</v>
      </c>
      <c r="AP441" s="174">
        <f t="shared" si="502"/>
        <v>1</v>
      </c>
      <c r="AQ441" s="174">
        <f t="shared" si="503"/>
        <v>1</v>
      </c>
      <c r="AR441" s="174">
        <f t="shared" si="504"/>
        <v>1</v>
      </c>
      <c r="AS441" s="174">
        <f t="shared" si="505"/>
        <v>1</v>
      </c>
      <c r="AT441" s="174">
        <f t="shared" si="506"/>
        <v>1</v>
      </c>
      <c r="AU441" s="174">
        <f t="shared" si="507"/>
        <v>0.74180688322222932</v>
      </c>
      <c r="AV441" s="174">
        <f t="shared" si="428"/>
        <v>0.84845102405014372</v>
      </c>
    </row>
    <row r="442" spans="1:49" x14ac:dyDescent="0.25">
      <c r="A442" s="4">
        <v>30401</v>
      </c>
      <c r="B442" s="5" t="s">
        <v>917</v>
      </c>
      <c r="C442" s="6">
        <f t="shared" ref="C442:N442" si="510">+C443</f>
        <v>844166666.66666663</v>
      </c>
      <c r="D442" s="6">
        <f t="shared" si="510"/>
        <v>844166666.66666663</v>
      </c>
      <c r="E442" s="6">
        <f t="shared" si="510"/>
        <v>844166666.66666663</v>
      </c>
      <c r="F442" s="6">
        <f t="shared" si="510"/>
        <v>120229537</v>
      </c>
      <c r="G442" s="6">
        <f t="shared" si="510"/>
        <v>0</v>
      </c>
      <c r="H442" s="6">
        <f t="shared" si="510"/>
        <v>0</v>
      </c>
      <c r="I442" s="6">
        <f t="shared" si="510"/>
        <v>0</v>
      </c>
      <c r="J442" s="6">
        <f t="shared" si="510"/>
        <v>1754177995</v>
      </c>
      <c r="K442" s="6">
        <f t="shared" si="510"/>
        <v>0</v>
      </c>
      <c r="L442" s="6">
        <f t="shared" si="510"/>
        <v>0</v>
      </c>
      <c r="M442" s="6">
        <f t="shared" si="510"/>
        <v>0</v>
      </c>
      <c r="N442" s="6">
        <f t="shared" si="510"/>
        <v>0</v>
      </c>
      <c r="O442" s="6">
        <f t="shared" si="429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f t="shared" ref="W442" si="511">+W443</f>
        <v>158880097.30000001</v>
      </c>
      <c r="X442" s="6"/>
      <c r="Y442" s="6"/>
      <c r="Z442" s="6"/>
      <c r="AA442" s="6"/>
      <c r="AB442" s="6"/>
      <c r="AC442" s="6"/>
      <c r="AD442" s="6"/>
      <c r="AE442" s="6"/>
      <c r="AF442" s="6">
        <f t="shared" si="474"/>
        <v>729239658.83999991</v>
      </c>
      <c r="AG442" s="6">
        <f t="shared" si="475"/>
        <v>729239658.83999991</v>
      </c>
      <c r="AI442" s="174">
        <f t="shared" si="430"/>
        <v>0.7300790339545904</v>
      </c>
      <c r="AJ442" s="174">
        <f t="shared" si="416"/>
        <v>1</v>
      </c>
      <c r="AK442" s="174">
        <f t="shared" si="417"/>
        <v>0.59427291683711747</v>
      </c>
      <c r="AL442" s="174">
        <f t="shared" si="498"/>
        <v>-0.3214730861019619</v>
      </c>
      <c r="AM442" s="174" t="e">
        <f t="shared" si="499"/>
        <v>#DIV/0!</v>
      </c>
      <c r="AN442" s="174" t="e">
        <f t="shared" si="500"/>
        <v>#DIV/0!</v>
      </c>
      <c r="AO442" s="174" t="e">
        <f t="shared" si="501"/>
        <v>#DIV/0!</v>
      </c>
      <c r="AP442" s="174">
        <f t="shared" si="502"/>
        <v>1</v>
      </c>
      <c r="AQ442" s="174" t="e">
        <f t="shared" si="503"/>
        <v>#DIV/0!</v>
      </c>
      <c r="AR442" s="174" t="e">
        <f t="shared" si="504"/>
        <v>#DIV/0!</v>
      </c>
      <c r="AS442" s="174" t="e">
        <f t="shared" si="505"/>
        <v>#DIV/0!</v>
      </c>
      <c r="AT442" s="174" t="e">
        <f t="shared" si="506"/>
        <v>#DIV/0!</v>
      </c>
      <c r="AU442" s="174">
        <f t="shared" si="507"/>
        <v>0.72509837559063606</v>
      </c>
      <c r="AV442" s="174">
        <f t="shared" si="428"/>
        <v>0.83028732794243432</v>
      </c>
    </row>
    <row r="443" spans="1:49" x14ac:dyDescent="0.25">
      <c r="A443" s="7">
        <v>3040101</v>
      </c>
      <c r="B443" s="8" t="s">
        <v>918</v>
      </c>
      <c r="C443" s="9">
        <f t="shared" ref="C443:N443" si="512">+C444+C447+C449+C452+C456+C459</f>
        <v>844166666.66666663</v>
      </c>
      <c r="D443" s="9">
        <f t="shared" si="512"/>
        <v>844166666.66666663</v>
      </c>
      <c r="E443" s="9">
        <f t="shared" si="512"/>
        <v>844166666.66666663</v>
      </c>
      <c r="F443" s="9">
        <f t="shared" si="512"/>
        <v>120229537</v>
      </c>
      <c r="G443" s="9">
        <f t="shared" si="512"/>
        <v>0</v>
      </c>
      <c r="H443" s="9">
        <f t="shared" si="512"/>
        <v>0</v>
      </c>
      <c r="I443" s="9">
        <f t="shared" si="512"/>
        <v>0</v>
      </c>
      <c r="J443" s="9">
        <f t="shared" si="512"/>
        <v>1754177995</v>
      </c>
      <c r="K443" s="9">
        <f t="shared" si="512"/>
        <v>0</v>
      </c>
      <c r="L443" s="9">
        <f t="shared" si="512"/>
        <v>0</v>
      </c>
      <c r="M443" s="9">
        <f t="shared" si="512"/>
        <v>0</v>
      </c>
      <c r="N443" s="9">
        <f t="shared" si="512"/>
        <v>0</v>
      </c>
      <c r="O443" s="9">
        <f t="shared" si="429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f t="shared" ref="W443" si="513">+W444+W446+W449+W452+W456+W459</f>
        <v>158880097.30000001</v>
      </c>
      <c r="X443" s="9"/>
      <c r="Y443" s="9"/>
      <c r="Z443" s="9"/>
      <c r="AA443" s="9"/>
      <c r="AB443" s="9"/>
      <c r="AC443" s="9"/>
      <c r="AD443" s="9"/>
      <c r="AE443" s="9"/>
      <c r="AF443" s="9">
        <f t="shared" si="474"/>
        <v>738885298.83999991</v>
      </c>
      <c r="AG443" s="9">
        <f t="shared" si="475"/>
        <v>738885298.83999991</v>
      </c>
      <c r="AI443" s="175">
        <f t="shared" si="430"/>
        <v>0.7300790339545904</v>
      </c>
      <c r="AJ443" s="175">
        <f t="shared" si="416"/>
        <v>0.98857377295162885</v>
      </c>
      <c r="AK443" s="175">
        <f t="shared" si="417"/>
        <v>0.59427291683711747</v>
      </c>
      <c r="AL443" s="175">
        <f t="shared" si="498"/>
        <v>-0.3214730861019619</v>
      </c>
      <c r="AM443" s="175" t="e">
        <f t="shared" si="499"/>
        <v>#DIV/0!</v>
      </c>
      <c r="AN443" s="175" t="e">
        <f t="shared" si="500"/>
        <v>#DIV/0!</v>
      </c>
      <c r="AO443" s="175" t="e">
        <f t="shared" si="501"/>
        <v>#DIV/0!</v>
      </c>
      <c r="AP443" s="175">
        <f t="shared" si="502"/>
        <v>1</v>
      </c>
      <c r="AQ443" s="175" t="e">
        <f t="shared" si="503"/>
        <v>#DIV/0!</v>
      </c>
      <c r="AR443" s="175" t="e">
        <f t="shared" si="504"/>
        <v>#DIV/0!</v>
      </c>
      <c r="AS443" s="175" t="e">
        <f t="shared" si="505"/>
        <v>#DIV/0!</v>
      </c>
      <c r="AT443" s="175" t="e">
        <f t="shared" si="506"/>
        <v>#DIV/0!</v>
      </c>
      <c r="AU443" s="175">
        <f t="shared" si="507"/>
        <v>0.72146225669292574</v>
      </c>
      <c r="AV443" s="175">
        <f t="shared" si="428"/>
        <v>0.82804254144699152</v>
      </c>
    </row>
    <row r="444" spans="1:49" x14ac:dyDescent="0.25">
      <c r="A444" s="7">
        <v>303010101</v>
      </c>
      <c r="B444" s="8" t="s">
        <v>919</v>
      </c>
      <c r="C444" s="9">
        <f t="shared" ref="C444:N444" si="514">+C445</f>
        <v>0</v>
      </c>
      <c r="D444" s="9">
        <f t="shared" si="514"/>
        <v>0</v>
      </c>
      <c r="E444" s="9">
        <f t="shared" si="514"/>
        <v>0</v>
      </c>
      <c r="F444" s="9">
        <f t="shared" si="514"/>
        <v>0</v>
      </c>
      <c r="G444" s="9">
        <f t="shared" si="514"/>
        <v>0</v>
      </c>
      <c r="H444" s="9">
        <f t="shared" si="514"/>
        <v>0</v>
      </c>
      <c r="I444" s="9">
        <f t="shared" si="514"/>
        <v>0</v>
      </c>
      <c r="J444" s="9">
        <f t="shared" si="514"/>
        <v>10000000</v>
      </c>
      <c r="K444" s="9">
        <f t="shared" si="514"/>
        <v>0</v>
      </c>
      <c r="L444" s="9">
        <f t="shared" si="514"/>
        <v>0</v>
      </c>
      <c r="M444" s="9">
        <f t="shared" si="514"/>
        <v>0</v>
      </c>
      <c r="N444" s="9">
        <f t="shared" si="514"/>
        <v>0</v>
      </c>
      <c r="O444" s="9">
        <f t="shared" si="429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f t="shared" ref="W444" si="515">+W445</f>
        <v>0</v>
      </c>
      <c r="X444" s="9"/>
      <c r="Y444" s="9"/>
      <c r="Z444" s="9"/>
      <c r="AA444" s="9"/>
      <c r="AB444" s="9"/>
      <c r="AC444" s="9"/>
      <c r="AD444" s="9"/>
      <c r="AE444" s="9"/>
      <c r="AF444" s="9">
        <f t="shared" si="474"/>
        <v>0</v>
      </c>
      <c r="AG444" s="9">
        <f t="shared" si="475"/>
        <v>0</v>
      </c>
      <c r="AI444" s="175" t="e">
        <f t="shared" si="430"/>
        <v>#DIV/0!</v>
      </c>
      <c r="AJ444" s="175" t="e">
        <f t="shared" si="416"/>
        <v>#DIV/0!</v>
      </c>
      <c r="AK444" s="175" t="e">
        <f t="shared" si="417"/>
        <v>#DIV/0!</v>
      </c>
      <c r="AL444" s="175" t="e">
        <f t="shared" si="498"/>
        <v>#DIV/0!</v>
      </c>
      <c r="AM444" s="175" t="e">
        <f t="shared" si="499"/>
        <v>#DIV/0!</v>
      </c>
      <c r="AN444" s="175" t="e">
        <f t="shared" si="500"/>
        <v>#DIV/0!</v>
      </c>
      <c r="AO444" s="175" t="e">
        <f t="shared" si="501"/>
        <v>#DIV/0!</v>
      </c>
      <c r="AP444" s="175">
        <f t="shared" si="502"/>
        <v>1</v>
      </c>
      <c r="AQ444" s="175" t="e">
        <f t="shared" si="503"/>
        <v>#DIV/0!</v>
      </c>
      <c r="AR444" s="175" t="e">
        <f t="shared" si="504"/>
        <v>#DIV/0!</v>
      </c>
      <c r="AS444" s="175" t="e">
        <f t="shared" si="505"/>
        <v>#DIV/0!</v>
      </c>
      <c r="AT444" s="175" t="e">
        <f t="shared" si="506"/>
        <v>#DIV/0!</v>
      </c>
      <c r="AU444" s="175" t="e">
        <f t="shared" si="507"/>
        <v>#DIV/0!</v>
      </c>
      <c r="AV444" s="175">
        <f t="shared" si="428"/>
        <v>1</v>
      </c>
    </row>
    <row r="445" spans="1:49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429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61">
        <v>0</v>
      </c>
      <c r="X445" s="21"/>
      <c r="Y445" s="21"/>
      <c r="Z445" s="21"/>
      <c r="AA445" s="21"/>
      <c r="AB445" s="21"/>
      <c r="AC445" s="21"/>
      <c r="AD445" s="21"/>
      <c r="AE445" s="21"/>
      <c r="AF445" s="261">
        <f t="shared" si="474"/>
        <v>9645640</v>
      </c>
      <c r="AG445" s="21">
        <f t="shared" si="475"/>
        <v>9645640</v>
      </c>
      <c r="AI445" s="176" t="e">
        <f t="shared" si="430"/>
        <v>#DIV/0!</v>
      </c>
      <c r="AJ445" s="176" t="e">
        <f t="shared" si="416"/>
        <v>#DIV/0!</v>
      </c>
      <c r="AK445" s="176" t="e">
        <f t="shared" si="417"/>
        <v>#DIV/0!</v>
      </c>
      <c r="AL445" s="176" t="e">
        <f t="shared" si="498"/>
        <v>#DIV/0!</v>
      </c>
      <c r="AM445" s="176" t="e">
        <f t="shared" si="499"/>
        <v>#DIV/0!</v>
      </c>
      <c r="AN445" s="176" t="e">
        <f t="shared" si="500"/>
        <v>#DIV/0!</v>
      </c>
      <c r="AO445" s="176" t="e">
        <f t="shared" si="501"/>
        <v>#DIV/0!</v>
      </c>
      <c r="AP445" s="176">
        <f t="shared" si="502"/>
        <v>1</v>
      </c>
      <c r="AQ445" s="176" t="e">
        <f t="shared" si="503"/>
        <v>#DIV/0!</v>
      </c>
      <c r="AR445" s="176" t="e">
        <f t="shared" si="504"/>
        <v>#DIV/0!</v>
      </c>
      <c r="AS445" s="176" t="e">
        <f t="shared" si="505"/>
        <v>#DIV/0!</v>
      </c>
      <c r="AT445" s="176" t="e">
        <f t="shared" si="506"/>
        <v>#DIV/0!</v>
      </c>
      <c r="AU445" s="176" t="e">
        <f t="shared" si="507"/>
        <v>#DIV/0!</v>
      </c>
      <c r="AV445" s="176">
        <f t="shared" si="428"/>
        <v>3.5436000000000002E-2</v>
      </c>
    </row>
    <row r="446" spans="1:49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516">+D447+D448</f>
        <v>0</v>
      </c>
      <c r="E446" s="9">
        <f t="shared" si="516"/>
        <v>0</v>
      </c>
      <c r="F446" s="9">
        <f t="shared" si="516"/>
        <v>0</v>
      </c>
      <c r="G446" s="9">
        <f t="shared" si="516"/>
        <v>0</v>
      </c>
      <c r="H446" s="9">
        <f t="shared" si="516"/>
        <v>0</v>
      </c>
      <c r="I446" s="9">
        <f t="shared" si="516"/>
        <v>0</v>
      </c>
      <c r="J446" s="9">
        <f t="shared" si="516"/>
        <v>200000000</v>
      </c>
      <c r="K446" s="9">
        <f t="shared" si="516"/>
        <v>0</v>
      </c>
      <c r="L446" s="9">
        <f t="shared" si="516"/>
        <v>0</v>
      </c>
      <c r="M446" s="9">
        <f t="shared" si="516"/>
        <v>0</v>
      </c>
      <c r="N446" s="9">
        <f t="shared" si="516"/>
        <v>0</v>
      </c>
      <c r="O446" s="9">
        <f t="shared" si="429"/>
        <v>100000000</v>
      </c>
      <c r="P446" s="9">
        <f t="shared" si="516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f t="shared" ref="W446" si="517">+W447+W448</f>
        <v>19482000</v>
      </c>
      <c r="X446" s="9"/>
      <c r="Y446" s="9"/>
      <c r="Z446" s="9"/>
      <c r="AA446" s="9"/>
      <c r="AB446" s="9"/>
      <c r="AC446" s="9"/>
      <c r="AD446" s="9"/>
      <c r="AE446" s="9"/>
      <c r="AF446" s="9">
        <f t="shared" si="474"/>
        <v>139720800</v>
      </c>
      <c r="AG446" s="9">
        <f t="shared" si="475"/>
        <v>139720800</v>
      </c>
      <c r="AI446" s="175">
        <f t="shared" si="430"/>
        <v>0</v>
      </c>
      <c r="AJ446" s="175" t="e">
        <f t="shared" si="416"/>
        <v>#DIV/0!</v>
      </c>
      <c r="AK446" s="175" t="e">
        <f t="shared" si="417"/>
        <v>#DIV/0!</v>
      </c>
      <c r="AL446" s="175" t="e">
        <f t="shared" si="498"/>
        <v>#DIV/0!</v>
      </c>
      <c r="AM446" s="175" t="e">
        <f t="shared" si="499"/>
        <v>#DIV/0!</v>
      </c>
      <c r="AN446" s="175" t="e">
        <f t="shared" si="500"/>
        <v>#DIV/0!</v>
      </c>
      <c r="AO446" s="175" t="e">
        <f t="shared" si="501"/>
        <v>#DIV/0!</v>
      </c>
      <c r="AP446" s="175">
        <f t="shared" si="502"/>
        <v>1</v>
      </c>
      <c r="AQ446" s="175" t="e">
        <f t="shared" si="503"/>
        <v>#DIV/0!</v>
      </c>
      <c r="AR446" s="175" t="e">
        <f t="shared" si="504"/>
        <v>#DIV/0!</v>
      </c>
      <c r="AS446" s="175" t="e">
        <f t="shared" si="505"/>
        <v>#DIV/0!</v>
      </c>
      <c r="AT446" s="175" t="e">
        <f t="shared" si="506"/>
        <v>#DIV/0!</v>
      </c>
      <c r="AU446" s="175">
        <f t="shared" si="507"/>
        <v>-0.39720800000000001</v>
      </c>
      <c r="AV446" s="175">
        <f t="shared" si="428"/>
        <v>0.53426399999999996</v>
      </c>
    </row>
    <row r="447" spans="1:49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429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61">
        <v>0</v>
      </c>
      <c r="X447" s="21"/>
      <c r="Y447" s="21"/>
      <c r="Z447" s="21"/>
      <c r="AA447" s="21"/>
      <c r="AB447" s="21"/>
      <c r="AC447" s="21"/>
      <c r="AD447" s="21"/>
      <c r="AE447" s="21"/>
      <c r="AF447" s="261">
        <f t="shared" si="474"/>
        <v>0</v>
      </c>
      <c r="AG447" s="21">
        <f t="shared" si="475"/>
        <v>0</v>
      </c>
      <c r="AI447" s="176" t="e">
        <f t="shared" si="430"/>
        <v>#DIV/0!</v>
      </c>
      <c r="AJ447" s="176" t="e">
        <f t="shared" si="416"/>
        <v>#DIV/0!</v>
      </c>
      <c r="AK447" s="176" t="e">
        <f t="shared" si="417"/>
        <v>#DIV/0!</v>
      </c>
      <c r="AL447" s="176" t="e">
        <f t="shared" si="498"/>
        <v>#DIV/0!</v>
      </c>
      <c r="AM447" s="176" t="e">
        <f t="shared" si="499"/>
        <v>#DIV/0!</v>
      </c>
      <c r="AN447" s="176" t="e">
        <f t="shared" si="500"/>
        <v>#DIV/0!</v>
      </c>
      <c r="AO447" s="176" t="e">
        <f t="shared" si="501"/>
        <v>#DIV/0!</v>
      </c>
      <c r="AP447" s="176">
        <f t="shared" si="502"/>
        <v>1</v>
      </c>
      <c r="AQ447" s="176" t="e">
        <f t="shared" si="503"/>
        <v>#DIV/0!</v>
      </c>
      <c r="AR447" s="176" t="e">
        <f t="shared" si="504"/>
        <v>#DIV/0!</v>
      </c>
      <c r="AS447" s="176" t="e">
        <f t="shared" si="505"/>
        <v>#DIV/0!</v>
      </c>
      <c r="AT447" s="176" t="e">
        <f t="shared" si="506"/>
        <v>#DIV/0!</v>
      </c>
      <c r="AU447" s="176" t="e">
        <f t="shared" si="507"/>
        <v>#DIV/0!</v>
      </c>
      <c r="AV447" s="176">
        <f t="shared" si="428"/>
        <v>1</v>
      </c>
    </row>
    <row r="448" spans="1:49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429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61">
        <v>19482000</v>
      </c>
      <c r="X448" s="21"/>
      <c r="Y448" s="21"/>
      <c r="Z448" s="21"/>
      <c r="AA448" s="21"/>
      <c r="AB448" s="21"/>
      <c r="AC448" s="21"/>
      <c r="AD448" s="21"/>
      <c r="AE448" s="21"/>
      <c r="AF448" s="261">
        <f t="shared" si="474"/>
        <v>139720800</v>
      </c>
      <c r="AG448" s="21">
        <f t="shared" si="475"/>
        <v>139720800</v>
      </c>
      <c r="AI448" s="176">
        <f t="shared" si="430"/>
        <v>0</v>
      </c>
      <c r="AJ448" s="176" t="e">
        <f t="shared" si="416"/>
        <v>#DIV/0!</v>
      </c>
      <c r="AK448" s="176" t="e">
        <f t="shared" si="417"/>
        <v>#DIV/0!</v>
      </c>
      <c r="AL448" s="176" t="e">
        <f t="shared" si="498"/>
        <v>#DIV/0!</v>
      </c>
      <c r="AM448" s="176" t="e">
        <f t="shared" si="499"/>
        <v>#DIV/0!</v>
      </c>
      <c r="AN448" s="176" t="e">
        <f t="shared" si="500"/>
        <v>#DIV/0!</v>
      </c>
      <c r="AO448" s="176" t="e">
        <f t="shared" si="501"/>
        <v>#DIV/0!</v>
      </c>
      <c r="AP448" s="176" t="e">
        <f t="shared" si="502"/>
        <v>#DIV/0!</v>
      </c>
      <c r="AQ448" s="176" t="e">
        <f t="shared" si="503"/>
        <v>#DIV/0!</v>
      </c>
      <c r="AR448" s="176" t="e">
        <f t="shared" si="504"/>
        <v>#DIV/0!</v>
      </c>
      <c r="AS448" s="176" t="e">
        <f t="shared" si="505"/>
        <v>#DIV/0!</v>
      </c>
      <c r="AT448" s="176" t="e">
        <f t="shared" si="506"/>
        <v>#DIV/0!</v>
      </c>
      <c r="AU448" s="176">
        <f t="shared" si="507"/>
        <v>-0.39720800000000001</v>
      </c>
      <c r="AV448" s="176">
        <f t="shared" si="428"/>
        <v>-0.39720800000000001</v>
      </c>
    </row>
    <row r="449" spans="1:48" x14ac:dyDescent="0.25">
      <c r="A449" s="7">
        <v>303010104</v>
      </c>
      <c r="B449" s="8" t="s">
        <v>679</v>
      </c>
      <c r="C449" s="9">
        <f t="shared" ref="C449:N449" si="518">+C450+C451</f>
        <v>17500000</v>
      </c>
      <c r="D449" s="9">
        <f t="shared" si="518"/>
        <v>17500000</v>
      </c>
      <c r="E449" s="9">
        <f t="shared" si="518"/>
        <v>17500000</v>
      </c>
      <c r="F449" s="9">
        <f t="shared" si="518"/>
        <v>17500000</v>
      </c>
      <c r="G449" s="9">
        <f t="shared" si="518"/>
        <v>0</v>
      </c>
      <c r="H449" s="9">
        <f t="shared" si="518"/>
        <v>0</v>
      </c>
      <c r="I449" s="9">
        <f t="shared" si="518"/>
        <v>0</v>
      </c>
      <c r="J449" s="9">
        <f t="shared" si="518"/>
        <v>0</v>
      </c>
      <c r="K449" s="9">
        <f t="shared" si="518"/>
        <v>0</v>
      </c>
      <c r="L449" s="9">
        <f t="shared" si="518"/>
        <v>0</v>
      </c>
      <c r="M449" s="9">
        <f t="shared" si="518"/>
        <v>0</v>
      </c>
      <c r="N449" s="9">
        <f t="shared" si="518"/>
        <v>0</v>
      </c>
      <c r="O449" s="9">
        <f t="shared" si="429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f t="shared" ref="W449" si="519">+W450+W451</f>
        <v>0</v>
      </c>
      <c r="X449" s="9"/>
      <c r="Y449" s="9"/>
      <c r="Z449" s="9"/>
      <c r="AA449" s="9"/>
      <c r="AB449" s="9"/>
      <c r="AC449" s="9"/>
      <c r="AD449" s="9"/>
      <c r="AE449" s="9"/>
      <c r="AF449" s="9">
        <f t="shared" si="474"/>
        <v>46288634.5</v>
      </c>
      <c r="AG449" s="9">
        <f t="shared" si="475"/>
        <v>46288634.5</v>
      </c>
      <c r="AI449" s="175">
        <f t="shared" si="430"/>
        <v>1</v>
      </c>
      <c r="AJ449" s="175">
        <f t="shared" si="416"/>
        <v>-1.5979551714285714</v>
      </c>
      <c r="AK449" s="175">
        <f t="shared" si="417"/>
        <v>0.9528903428571428</v>
      </c>
      <c r="AL449" s="175">
        <f t="shared" si="498"/>
        <v>1</v>
      </c>
      <c r="AM449" s="175" t="e">
        <f t="shared" si="499"/>
        <v>#DIV/0!</v>
      </c>
      <c r="AN449" s="175" t="e">
        <f t="shared" si="500"/>
        <v>#DIV/0!</v>
      </c>
      <c r="AO449" s="175" t="e">
        <f t="shared" si="501"/>
        <v>#DIV/0!</v>
      </c>
      <c r="AP449" s="175" t="e">
        <f t="shared" si="502"/>
        <v>#DIV/0!</v>
      </c>
      <c r="AQ449" s="175" t="e">
        <f t="shared" si="503"/>
        <v>#DIV/0!</v>
      </c>
      <c r="AR449" s="175" t="e">
        <f t="shared" si="504"/>
        <v>#DIV/0!</v>
      </c>
      <c r="AS449" s="175" t="e">
        <f t="shared" si="505"/>
        <v>#DIV/0!</v>
      </c>
      <c r="AT449" s="175" t="e">
        <f t="shared" si="506"/>
        <v>#DIV/0!</v>
      </c>
      <c r="AU449" s="175">
        <f t="shared" si="507"/>
        <v>0.33873379285714283</v>
      </c>
      <c r="AV449" s="175">
        <f t="shared" si="428"/>
        <v>7.4227310000000005E-2</v>
      </c>
    </row>
    <row r="450" spans="1:48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429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61">
        <v>0</v>
      </c>
      <c r="X450" s="21"/>
      <c r="Y450" s="21"/>
      <c r="Z450" s="21"/>
      <c r="AA450" s="21"/>
      <c r="AB450" s="21"/>
      <c r="AC450" s="21"/>
      <c r="AD450" s="21"/>
      <c r="AE450" s="21"/>
      <c r="AF450" s="261">
        <f t="shared" si="474"/>
        <v>0</v>
      </c>
      <c r="AG450" s="21">
        <f t="shared" si="475"/>
        <v>0</v>
      </c>
      <c r="AI450" s="176">
        <f t="shared" si="430"/>
        <v>1</v>
      </c>
      <c r="AJ450" s="176">
        <f t="shared" si="416"/>
        <v>1</v>
      </c>
      <c r="AK450" s="176">
        <f t="shared" si="417"/>
        <v>1</v>
      </c>
      <c r="AL450" s="176">
        <f t="shared" si="498"/>
        <v>1</v>
      </c>
      <c r="AM450" s="176" t="e">
        <f t="shared" si="499"/>
        <v>#DIV/0!</v>
      </c>
      <c r="AN450" s="176" t="e">
        <f t="shared" si="500"/>
        <v>#DIV/0!</v>
      </c>
      <c r="AO450" s="176" t="e">
        <f t="shared" si="501"/>
        <v>#DIV/0!</v>
      </c>
      <c r="AP450" s="176" t="e">
        <f t="shared" si="502"/>
        <v>#DIV/0!</v>
      </c>
      <c r="AQ450" s="176" t="e">
        <f t="shared" si="503"/>
        <v>#DIV/0!</v>
      </c>
      <c r="AR450" s="176" t="e">
        <f t="shared" si="504"/>
        <v>#DIV/0!</v>
      </c>
      <c r="AS450" s="176" t="e">
        <f t="shared" si="505"/>
        <v>#DIV/0!</v>
      </c>
      <c r="AT450" s="176" t="e">
        <f t="shared" si="506"/>
        <v>#DIV/0!</v>
      </c>
      <c r="AU450" s="176">
        <f t="shared" si="507"/>
        <v>1</v>
      </c>
      <c r="AV450" s="176">
        <f t="shared" si="428"/>
        <v>1</v>
      </c>
    </row>
    <row r="451" spans="1:48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429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61">
        <v>0</v>
      </c>
      <c r="X451" s="21"/>
      <c r="Y451" s="21"/>
      <c r="Z451" s="21"/>
      <c r="AA451" s="21"/>
      <c r="AB451" s="21"/>
      <c r="AC451" s="21"/>
      <c r="AD451" s="21"/>
      <c r="AE451" s="21"/>
      <c r="AF451" s="261">
        <f t="shared" si="474"/>
        <v>824419</v>
      </c>
      <c r="AG451" s="21">
        <f t="shared" si="475"/>
        <v>824419</v>
      </c>
      <c r="AI451" s="176">
        <f t="shared" si="430"/>
        <v>1</v>
      </c>
      <c r="AJ451" s="176">
        <f t="shared" si="416"/>
        <v>1</v>
      </c>
      <c r="AK451" s="176">
        <f t="shared" si="417"/>
        <v>0.90578068571428572</v>
      </c>
      <c r="AL451" s="176">
        <f t="shared" si="498"/>
        <v>1</v>
      </c>
      <c r="AM451" s="176" t="e">
        <f t="shared" si="499"/>
        <v>#DIV/0!</v>
      </c>
      <c r="AN451" s="176" t="e">
        <f t="shared" si="500"/>
        <v>#DIV/0!</v>
      </c>
      <c r="AO451" s="176" t="e">
        <f t="shared" si="501"/>
        <v>#DIV/0!</v>
      </c>
      <c r="AP451" s="176" t="e">
        <f t="shared" si="502"/>
        <v>#DIV/0!</v>
      </c>
      <c r="AQ451" s="176" t="e">
        <f t="shared" si="503"/>
        <v>#DIV/0!</v>
      </c>
      <c r="AR451" s="176" t="e">
        <f t="shared" si="504"/>
        <v>#DIV/0!</v>
      </c>
      <c r="AS451" s="176" t="e">
        <f t="shared" si="505"/>
        <v>#DIV/0!</v>
      </c>
      <c r="AT451" s="176" t="e">
        <f t="shared" si="506"/>
        <v>#DIV/0!</v>
      </c>
      <c r="AU451" s="176">
        <f t="shared" si="507"/>
        <v>0.97644517142857146</v>
      </c>
      <c r="AV451" s="176">
        <f t="shared" si="428"/>
        <v>0.94503873333333333</v>
      </c>
    </row>
    <row r="452" spans="1:48" x14ac:dyDescent="0.25">
      <c r="A452" s="7">
        <v>303010105</v>
      </c>
      <c r="B452" s="8" t="s">
        <v>682</v>
      </c>
      <c r="C452" s="9">
        <f t="shared" ref="C452:N452" si="520">+C453+C454+C455</f>
        <v>400000000</v>
      </c>
      <c r="D452" s="9">
        <f t="shared" si="520"/>
        <v>400000000</v>
      </c>
      <c r="E452" s="9">
        <f t="shared" si="520"/>
        <v>400000000</v>
      </c>
      <c r="F452" s="9">
        <f t="shared" si="520"/>
        <v>102729537</v>
      </c>
      <c r="G452" s="9">
        <f t="shared" si="520"/>
        <v>0</v>
      </c>
      <c r="H452" s="9">
        <f t="shared" si="520"/>
        <v>0</v>
      </c>
      <c r="I452" s="9">
        <f t="shared" si="520"/>
        <v>0</v>
      </c>
      <c r="J452" s="9">
        <f t="shared" si="520"/>
        <v>1544177995</v>
      </c>
      <c r="K452" s="9">
        <f t="shared" si="520"/>
        <v>0</v>
      </c>
      <c r="L452" s="9">
        <f t="shared" si="520"/>
        <v>0</v>
      </c>
      <c r="M452" s="9">
        <f t="shared" si="520"/>
        <v>0</v>
      </c>
      <c r="N452" s="9">
        <f t="shared" si="520"/>
        <v>0</v>
      </c>
      <c r="O452" s="9">
        <f t="shared" si="429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f t="shared" ref="W452" si="521">+W453+W454+W455</f>
        <v>86743692</v>
      </c>
      <c r="X452" s="9"/>
      <c r="Y452" s="9"/>
      <c r="Z452" s="9"/>
      <c r="AA452" s="9"/>
      <c r="AB452" s="9"/>
      <c r="AC452" s="9"/>
      <c r="AD452" s="9"/>
      <c r="AE452" s="9"/>
      <c r="AF452" s="9">
        <f t="shared" si="474"/>
        <v>487041533.08999997</v>
      </c>
      <c r="AG452" s="9">
        <f t="shared" si="475"/>
        <v>487041533.08999997</v>
      </c>
      <c r="AI452" s="175">
        <f t="shared" si="430"/>
        <v>0.81502351702499998</v>
      </c>
      <c r="AJ452" s="175">
        <f t="shared" si="416"/>
        <v>0.88633946124999996</v>
      </c>
      <c r="AK452" s="175">
        <f t="shared" si="417"/>
        <v>0.29789241900000007</v>
      </c>
      <c r="AL452" s="175">
        <f t="shared" si="498"/>
        <v>0.15561099043987708</v>
      </c>
      <c r="AM452" s="175" t="e">
        <f t="shared" si="499"/>
        <v>#DIV/0!</v>
      </c>
      <c r="AN452" s="175" t="e">
        <f t="shared" si="500"/>
        <v>#DIV/0!</v>
      </c>
      <c r="AO452" s="175" t="e">
        <f t="shared" si="501"/>
        <v>#DIV/0!</v>
      </c>
      <c r="AP452" s="175">
        <f t="shared" si="502"/>
        <v>1</v>
      </c>
      <c r="AQ452" s="175" t="e">
        <f t="shared" si="503"/>
        <v>#DIV/0!</v>
      </c>
      <c r="AR452" s="175" t="e">
        <f t="shared" si="504"/>
        <v>#DIV/0!</v>
      </c>
      <c r="AS452" s="175" t="e">
        <f t="shared" si="505"/>
        <v>#DIV/0!</v>
      </c>
      <c r="AT452" s="175" t="e">
        <f t="shared" si="506"/>
        <v>#DIV/0!</v>
      </c>
      <c r="AU452" s="175">
        <f t="shared" si="507"/>
        <v>0.62613764464757049</v>
      </c>
      <c r="AV452" s="175">
        <f t="shared" si="428"/>
        <v>0.82892260194069411</v>
      </c>
    </row>
    <row r="453" spans="1:48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429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61">
        <v>0</v>
      </c>
      <c r="X453" s="21"/>
      <c r="Y453" s="21"/>
      <c r="Z453" s="21"/>
      <c r="AA453" s="21"/>
      <c r="AB453" s="21"/>
      <c r="AC453" s="21"/>
      <c r="AD453" s="21"/>
      <c r="AE453" s="21"/>
      <c r="AF453" s="261">
        <f t="shared" si="474"/>
        <v>35838834.700000003</v>
      </c>
      <c r="AG453" s="21">
        <f t="shared" si="475"/>
        <v>35838834.700000003</v>
      </c>
      <c r="AI453" s="176" t="e">
        <f t="shared" si="430"/>
        <v>#DIV/0!</v>
      </c>
      <c r="AJ453" s="176" t="e">
        <f t="shared" si="416"/>
        <v>#DIV/0!</v>
      </c>
      <c r="AK453" s="176" t="e">
        <f t="shared" si="417"/>
        <v>#DIV/0!</v>
      </c>
      <c r="AL453" s="176" t="e">
        <f t="shared" si="498"/>
        <v>#DIV/0!</v>
      </c>
      <c r="AM453" s="176" t="e">
        <f t="shared" si="499"/>
        <v>#DIV/0!</v>
      </c>
      <c r="AN453" s="176" t="e">
        <f t="shared" si="500"/>
        <v>#DIV/0!</v>
      </c>
      <c r="AO453" s="176" t="e">
        <f t="shared" si="501"/>
        <v>#DIV/0!</v>
      </c>
      <c r="AP453" s="176">
        <f t="shared" si="502"/>
        <v>1</v>
      </c>
      <c r="AQ453" s="176" t="e">
        <f t="shared" si="503"/>
        <v>#DIV/0!</v>
      </c>
      <c r="AR453" s="176" t="e">
        <f t="shared" si="504"/>
        <v>#DIV/0!</v>
      </c>
      <c r="AS453" s="176" t="e">
        <f t="shared" si="505"/>
        <v>#DIV/0!</v>
      </c>
      <c r="AT453" s="176" t="e">
        <f t="shared" si="506"/>
        <v>#DIV/0!</v>
      </c>
      <c r="AU453" s="176" t="e">
        <f t="shared" si="507"/>
        <v>#DIV/0!</v>
      </c>
      <c r="AV453" s="176">
        <f t="shared" si="428"/>
        <v>0.97679099506919209</v>
      </c>
    </row>
    <row r="454" spans="1:48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429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61">
        <v>0</v>
      </c>
      <c r="X454" s="21"/>
      <c r="Y454" s="21"/>
      <c r="Z454" s="21"/>
      <c r="AA454" s="21"/>
      <c r="AB454" s="21"/>
      <c r="AC454" s="21"/>
      <c r="AD454" s="21"/>
      <c r="AE454" s="21"/>
      <c r="AF454" s="261">
        <f t="shared" si="474"/>
        <v>147981186.19</v>
      </c>
      <c r="AG454" s="21">
        <f t="shared" si="475"/>
        <v>147981186.19</v>
      </c>
      <c r="AI454" s="176" t="e">
        <f t="shared" si="430"/>
        <v>#DIV/0!</v>
      </c>
      <c r="AJ454" s="176" t="e">
        <f t="shared" si="416"/>
        <v>#DIV/0!</v>
      </c>
      <c r="AK454" s="176" t="e">
        <f t="shared" si="417"/>
        <v>#DIV/0!</v>
      </c>
      <c r="AL454" s="176">
        <f t="shared" si="498"/>
        <v>1</v>
      </c>
      <c r="AM454" s="176" t="e">
        <f t="shared" si="499"/>
        <v>#DIV/0!</v>
      </c>
      <c r="AN454" s="176" t="e">
        <f t="shared" si="500"/>
        <v>#DIV/0!</v>
      </c>
      <c r="AO454" s="176" t="e">
        <f t="shared" si="501"/>
        <v>#DIV/0!</v>
      </c>
      <c r="AP454" s="176" t="e">
        <f t="shared" si="502"/>
        <v>#DIV/0!</v>
      </c>
      <c r="AQ454" s="176" t="e">
        <f t="shared" si="503"/>
        <v>#DIV/0!</v>
      </c>
      <c r="AR454" s="176" t="e">
        <f t="shared" si="504"/>
        <v>#DIV/0!</v>
      </c>
      <c r="AS454" s="176" t="e">
        <f t="shared" si="505"/>
        <v>#DIV/0!</v>
      </c>
      <c r="AT454" s="176" t="e">
        <f t="shared" si="506"/>
        <v>#DIV/0!</v>
      </c>
      <c r="AU454" s="176">
        <f t="shared" si="507"/>
        <v>-0.44049307055671827</v>
      </c>
      <c r="AV454" s="176">
        <f t="shared" si="428"/>
        <v>-0.44049307055671827</v>
      </c>
    </row>
    <row r="455" spans="1:48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429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61">
        <v>86743692</v>
      </c>
      <c r="X455" s="21"/>
      <c r="Y455" s="21"/>
      <c r="Z455" s="21"/>
      <c r="AA455" s="21"/>
      <c r="AB455" s="21"/>
      <c r="AC455" s="21"/>
      <c r="AD455" s="21"/>
      <c r="AE455" s="21"/>
      <c r="AF455" s="261">
        <f t="shared" si="474"/>
        <v>329434966.10000002</v>
      </c>
      <c r="AG455" s="21">
        <f t="shared" si="475"/>
        <v>329434966.10000002</v>
      </c>
      <c r="AI455" s="176">
        <f t="shared" si="430"/>
        <v>1</v>
      </c>
      <c r="AJ455" s="176">
        <f t="shared" si="416"/>
        <v>0.91040291325</v>
      </c>
      <c r="AK455" s="176">
        <f t="shared" si="417"/>
        <v>0.4828689015</v>
      </c>
      <c r="AL455" s="176" t="e">
        <f t="shared" si="498"/>
        <v>#DIV/0!</v>
      </c>
      <c r="AM455" s="176" t="e">
        <f t="shared" si="499"/>
        <v>#DIV/0!</v>
      </c>
      <c r="AN455" s="176" t="e">
        <f t="shared" si="500"/>
        <v>#DIV/0!</v>
      </c>
      <c r="AO455" s="176" t="e">
        <f t="shared" si="501"/>
        <v>#DIV/0!</v>
      </c>
      <c r="AP455" s="176" t="e">
        <f t="shared" si="502"/>
        <v>#DIV/0!</v>
      </c>
      <c r="AQ455" s="176" t="e">
        <f t="shared" si="503"/>
        <v>#DIV/0!</v>
      </c>
      <c r="AR455" s="176" t="e">
        <f t="shared" si="504"/>
        <v>#DIV/0!</v>
      </c>
      <c r="AS455" s="176" t="e">
        <f t="shared" si="505"/>
        <v>#DIV/0!</v>
      </c>
      <c r="AT455" s="176" t="e">
        <f t="shared" si="506"/>
        <v>#DIV/0!</v>
      </c>
      <c r="AU455" s="176">
        <f t="shared" si="507"/>
        <v>0.72547086158333329</v>
      </c>
      <c r="AV455" s="176">
        <f t="shared" si="428"/>
        <v>0.72547086158333329</v>
      </c>
    </row>
    <row r="456" spans="1:48" x14ac:dyDescent="0.25">
      <c r="A456" s="7">
        <v>303010106</v>
      </c>
      <c r="B456" s="8" t="s">
        <v>686</v>
      </c>
      <c r="C456" s="9">
        <f t="shared" ref="C456:N456" si="522">+C457+C458</f>
        <v>226666666.66666666</v>
      </c>
      <c r="D456" s="9">
        <f t="shared" si="522"/>
        <v>226666666.66666666</v>
      </c>
      <c r="E456" s="9">
        <f t="shared" si="522"/>
        <v>226666666.66666666</v>
      </c>
      <c r="F456" s="9">
        <f t="shared" si="522"/>
        <v>0</v>
      </c>
      <c r="G456" s="9">
        <f t="shared" si="522"/>
        <v>0</v>
      </c>
      <c r="H456" s="9">
        <f t="shared" si="522"/>
        <v>0</v>
      </c>
      <c r="I456" s="9">
        <f t="shared" si="522"/>
        <v>0</v>
      </c>
      <c r="J456" s="9">
        <f t="shared" si="522"/>
        <v>0</v>
      </c>
      <c r="K456" s="9">
        <f t="shared" si="522"/>
        <v>0</v>
      </c>
      <c r="L456" s="9">
        <f t="shared" si="522"/>
        <v>0</v>
      </c>
      <c r="M456" s="9">
        <f t="shared" si="522"/>
        <v>0</v>
      </c>
      <c r="N456" s="9">
        <f t="shared" si="522"/>
        <v>0</v>
      </c>
      <c r="O456" s="9">
        <f t="shared" si="429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f t="shared" ref="W456" si="523">+W457+W458</f>
        <v>52654405.299999997</v>
      </c>
      <c r="X456" s="9"/>
      <c r="Y456" s="9"/>
      <c r="Z456" s="9"/>
      <c r="AA456" s="9"/>
      <c r="AB456" s="9"/>
      <c r="AC456" s="9"/>
      <c r="AD456" s="9"/>
      <c r="AE456" s="9"/>
      <c r="AF456" s="9">
        <f t="shared" si="474"/>
        <v>119537044.28999999</v>
      </c>
      <c r="AG456" s="9">
        <f t="shared" si="475"/>
        <v>119537044.28999999</v>
      </c>
      <c r="AI456" s="175">
        <f t="shared" si="430"/>
        <v>0.87583895147058821</v>
      </c>
      <c r="AJ456" s="175">
        <f t="shared" si="416"/>
        <v>0.89469577352941176</v>
      </c>
      <c r="AK456" s="175">
        <f t="shared" si="417"/>
        <v>0.93439480886764703</v>
      </c>
      <c r="AL456" s="175" t="e">
        <f t="shared" si="498"/>
        <v>#DIV/0!</v>
      </c>
      <c r="AM456" s="175" t="e">
        <f t="shared" si="499"/>
        <v>#DIV/0!</v>
      </c>
      <c r="AN456" s="175" t="e">
        <f t="shared" si="500"/>
        <v>#DIV/0!</v>
      </c>
      <c r="AO456" s="175" t="e">
        <f t="shared" si="501"/>
        <v>#DIV/0!</v>
      </c>
      <c r="AP456" s="175" t="e">
        <f t="shared" si="502"/>
        <v>#DIV/0!</v>
      </c>
      <c r="AQ456" s="175" t="e">
        <f t="shared" si="503"/>
        <v>#DIV/0!</v>
      </c>
      <c r="AR456" s="175" t="e">
        <f t="shared" si="504"/>
        <v>#DIV/0!</v>
      </c>
      <c r="AS456" s="175" t="e">
        <f t="shared" si="505"/>
        <v>#DIV/0!</v>
      </c>
      <c r="AT456" s="175" t="e">
        <f t="shared" si="506"/>
        <v>#DIV/0!</v>
      </c>
      <c r="AU456" s="175">
        <f t="shared" si="507"/>
        <v>0.82421022898529417</v>
      </c>
      <c r="AV456" s="175">
        <f t="shared" si="428"/>
        <v>0.77863510316666673</v>
      </c>
    </row>
    <row r="457" spans="1:48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429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61">
        <v>0</v>
      </c>
      <c r="X457" s="21"/>
      <c r="Y457" s="21"/>
      <c r="Z457" s="21"/>
      <c r="AA457" s="21"/>
      <c r="AB457" s="21"/>
      <c r="AC457" s="21"/>
      <c r="AD457" s="21"/>
      <c r="AE457" s="21"/>
      <c r="AF457" s="261">
        <f t="shared" si="474"/>
        <v>0</v>
      </c>
      <c r="AG457" s="21">
        <f t="shared" si="475"/>
        <v>0</v>
      </c>
      <c r="AI457" s="176">
        <f t="shared" si="430"/>
        <v>1</v>
      </c>
      <c r="AJ457" s="176">
        <f t="shared" si="416"/>
        <v>1</v>
      </c>
      <c r="AK457" s="176">
        <f t="shared" si="417"/>
        <v>1</v>
      </c>
      <c r="AL457" s="176" t="e">
        <f t="shared" si="498"/>
        <v>#DIV/0!</v>
      </c>
      <c r="AM457" s="176" t="e">
        <f t="shared" si="499"/>
        <v>#DIV/0!</v>
      </c>
      <c r="AN457" s="176" t="e">
        <f t="shared" si="500"/>
        <v>#DIV/0!</v>
      </c>
      <c r="AO457" s="176" t="e">
        <f t="shared" si="501"/>
        <v>#DIV/0!</v>
      </c>
      <c r="AP457" s="176" t="e">
        <f t="shared" si="502"/>
        <v>#DIV/0!</v>
      </c>
      <c r="AQ457" s="176" t="e">
        <f t="shared" si="503"/>
        <v>#DIV/0!</v>
      </c>
      <c r="AR457" s="176" t="e">
        <f t="shared" si="504"/>
        <v>#DIV/0!</v>
      </c>
      <c r="AS457" s="176" t="e">
        <f t="shared" si="505"/>
        <v>#DIV/0!</v>
      </c>
      <c r="AT457" s="176" t="e">
        <f t="shared" si="506"/>
        <v>#DIV/0!</v>
      </c>
      <c r="AU457" s="176">
        <f t="shared" si="507"/>
        <v>1</v>
      </c>
      <c r="AV457" s="176">
        <f t="shared" si="428"/>
        <v>1</v>
      </c>
    </row>
    <row r="458" spans="1:48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429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61">
        <v>52654405.299999997</v>
      </c>
      <c r="X458" s="21"/>
      <c r="Y458" s="21"/>
      <c r="Z458" s="21"/>
      <c r="AA458" s="21"/>
      <c r="AB458" s="21"/>
      <c r="AC458" s="21"/>
      <c r="AD458" s="21"/>
      <c r="AE458" s="21"/>
      <c r="AF458" s="261">
        <f t="shared" si="474"/>
        <v>119537044.28999999</v>
      </c>
      <c r="AG458" s="21">
        <f t="shared" si="475"/>
        <v>119537044.28999999</v>
      </c>
      <c r="AI458" s="176">
        <f t="shared" si="430"/>
        <v>0.75167790294117642</v>
      </c>
      <c r="AJ458" s="176">
        <f t="shared" si="416"/>
        <v>0.78939154705882353</v>
      </c>
      <c r="AK458" s="176">
        <f t="shared" si="417"/>
        <v>0.86878961773529417</v>
      </c>
      <c r="AL458" s="176" t="e">
        <f t="shared" si="498"/>
        <v>#DIV/0!</v>
      </c>
      <c r="AM458" s="176" t="e">
        <f t="shared" si="499"/>
        <v>#DIV/0!</v>
      </c>
      <c r="AN458" s="176" t="e">
        <f t="shared" si="500"/>
        <v>#DIV/0!</v>
      </c>
      <c r="AO458" s="176" t="e">
        <f t="shared" si="501"/>
        <v>#DIV/0!</v>
      </c>
      <c r="AP458" s="176" t="e">
        <f t="shared" si="502"/>
        <v>#DIV/0!</v>
      </c>
      <c r="AQ458" s="176" t="e">
        <f t="shared" si="503"/>
        <v>#DIV/0!</v>
      </c>
      <c r="AR458" s="176" t="e">
        <f t="shared" si="504"/>
        <v>#DIV/0!</v>
      </c>
      <c r="AS458" s="176" t="e">
        <f t="shared" si="505"/>
        <v>#DIV/0!</v>
      </c>
      <c r="AT458" s="176" t="e">
        <f t="shared" si="506"/>
        <v>#DIV/0!</v>
      </c>
      <c r="AU458" s="176">
        <f t="shared" si="507"/>
        <v>0.64842045797058823</v>
      </c>
      <c r="AV458" s="176">
        <f t="shared" si="428"/>
        <v>0.40231477855000003</v>
      </c>
    </row>
    <row r="459" spans="1:48" x14ac:dyDescent="0.25">
      <c r="A459" s="7">
        <v>303010107</v>
      </c>
      <c r="B459" s="8" t="s">
        <v>689</v>
      </c>
      <c r="C459" s="9">
        <f t="shared" ref="C459:N459" si="524">+C460+C461</f>
        <v>200000000</v>
      </c>
      <c r="D459" s="9">
        <f t="shared" si="524"/>
        <v>200000000</v>
      </c>
      <c r="E459" s="9">
        <f t="shared" si="524"/>
        <v>200000000</v>
      </c>
      <c r="F459" s="9">
        <f t="shared" si="524"/>
        <v>0</v>
      </c>
      <c r="G459" s="9">
        <f t="shared" si="524"/>
        <v>0</v>
      </c>
      <c r="H459" s="9">
        <f t="shared" si="524"/>
        <v>0</v>
      </c>
      <c r="I459" s="9">
        <f t="shared" si="524"/>
        <v>0</v>
      </c>
      <c r="J459" s="9">
        <f t="shared" si="524"/>
        <v>0</v>
      </c>
      <c r="K459" s="9">
        <f t="shared" si="524"/>
        <v>0</v>
      </c>
      <c r="L459" s="9">
        <f t="shared" si="524"/>
        <v>0</v>
      </c>
      <c r="M459" s="9">
        <f t="shared" si="524"/>
        <v>0</v>
      </c>
      <c r="N459" s="9">
        <f t="shared" si="524"/>
        <v>0</v>
      </c>
      <c r="O459" s="9">
        <f t="shared" ref="O459:O522" si="525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f t="shared" ref="W459" si="526">+W460+W461</f>
        <v>0</v>
      </c>
      <c r="X459" s="9"/>
      <c r="Y459" s="9"/>
      <c r="Z459" s="9"/>
      <c r="AA459" s="9"/>
      <c r="AB459" s="9"/>
      <c r="AC459" s="9"/>
      <c r="AD459" s="9"/>
      <c r="AE459" s="9"/>
      <c r="AF459" s="9">
        <f t="shared" si="474"/>
        <v>51449035.960000001</v>
      </c>
      <c r="AG459" s="9">
        <f t="shared" si="475"/>
        <v>51449035.960000001</v>
      </c>
      <c r="AI459" s="175">
        <f t="shared" si="430"/>
        <v>0.87137741010000003</v>
      </c>
      <c r="AJ459" s="175">
        <f t="shared" ref="AJ459:AJ465" si="527">(D459-U459)/D459</f>
        <v>1</v>
      </c>
      <c r="AK459" s="175">
        <f t="shared" ref="AK459:AK465" si="528">(E459-V459)/E459</f>
        <v>0.87137741010000003</v>
      </c>
      <c r="AL459" s="175" t="e">
        <f t="shared" si="498"/>
        <v>#DIV/0!</v>
      </c>
      <c r="AM459" s="175" t="e">
        <f t="shared" si="499"/>
        <v>#DIV/0!</v>
      </c>
      <c r="AN459" s="175" t="e">
        <f t="shared" si="500"/>
        <v>#DIV/0!</v>
      </c>
      <c r="AO459" s="175" t="e">
        <f t="shared" si="501"/>
        <v>#DIV/0!</v>
      </c>
      <c r="AP459" s="175" t="e">
        <f t="shared" si="502"/>
        <v>#DIV/0!</v>
      </c>
      <c r="AQ459" s="175" t="e">
        <f t="shared" si="503"/>
        <v>#DIV/0!</v>
      </c>
      <c r="AR459" s="175" t="e">
        <f t="shared" si="504"/>
        <v>#DIV/0!</v>
      </c>
      <c r="AS459" s="175" t="e">
        <f t="shared" si="505"/>
        <v>#DIV/0!</v>
      </c>
      <c r="AT459" s="175" t="e">
        <f t="shared" si="506"/>
        <v>#DIV/0!</v>
      </c>
      <c r="AU459" s="175">
        <f t="shared" si="507"/>
        <v>0.91425160673333328</v>
      </c>
      <c r="AV459" s="175">
        <f t="shared" ref="AV459:AV465" si="529">(P459-AG459)/P459</f>
        <v>0.92084763698461536</v>
      </c>
    </row>
    <row r="460" spans="1:48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525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61">
        <v>0</v>
      </c>
      <c r="X460" s="21"/>
      <c r="Y460" s="21"/>
      <c r="Z460" s="21"/>
      <c r="AA460" s="21"/>
      <c r="AB460" s="21"/>
      <c r="AC460" s="21"/>
      <c r="AD460" s="21"/>
      <c r="AE460" s="21"/>
      <c r="AF460" s="261">
        <f t="shared" ref="AF460:AF491" si="530">+T460+U460+V460+W460</f>
        <v>0</v>
      </c>
      <c r="AG460" s="21">
        <f t="shared" ref="AG460:AG491" si="531">+T460+U460+V460+W460</f>
        <v>0</v>
      </c>
      <c r="AI460" s="176">
        <f t="shared" ref="AI460:AI465" si="532">(C460-T460)/C460</f>
        <v>1</v>
      </c>
      <c r="AJ460" s="176">
        <f t="shared" si="527"/>
        <v>1</v>
      </c>
      <c r="AK460" s="176">
        <f t="shared" si="528"/>
        <v>1</v>
      </c>
      <c r="AL460" s="176" t="e">
        <f t="shared" si="498"/>
        <v>#DIV/0!</v>
      </c>
      <c r="AM460" s="176" t="e">
        <f t="shared" si="499"/>
        <v>#DIV/0!</v>
      </c>
      <c r="AN460" s="176" t="e">
        <f t="shared" si="500"/>
        <v>#DIV/0!</v>
      </c>
      <c r="AO460" s="176" t="e">
        <f t="shared" si="501"/>
        <v>#DIV/0!</v>
      </c>
      <c r="AP460" s="176" t="e">
        <f t="shared" si="502"/>
        <v>#DIV/0!</v>
      </c>
      <c r="AQ460" s="176" t="e">
        <f t="shared" si="503"/>
        <v>#DIV/0!</v>
      </c>
      <c r="AR460" s="176" t="e">
        <f t="shared" si="504"/>
        <v>#DIV/0!</v>
      </c>
      <c r="AS460" s="176" t="e">
        <f t="shared" si="505"/>
        <v>#DIV/0!</v>
      </c>
      <c r="AT460" s="176" t="e">
        <f t="shared" si="506"/>
        <v>#DIV/0!</v>
      </c>
      <c r="AU460" s="176">
        <f t="shared" si="507"/>
        <v>1</v>
      </c>
      <c r="AV460" s="176">
        <f t="shared" si="529"/>
        <v>1</v>
      </c>
    </row>
    <row r="461" spans="1:48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525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61">
        <v>0</v>
      </c>
      <c r="X461" s="21"/>
      <c r="Y461" s="21"/>
      <c r="Z461" s="21"/>
      <c r="AA461" s="21"/>
      <c r="AB461" s="21"/>
      <c r="AC461" s="21"/>
      <c r="AD461" s="21"/>
      <c r="AE461" s="21"/>
      <c r="AF461" s="261">
        <f t="shared" si="530"/>
        <v>51449035.960000001</v>
      </c>
      <c r="AG461" s="21">
        <f t="shared" si="531"/>
        <v>51449035.960000001</v>
      </c>
      <c r="AI461" s="176">
        <f t="shared" si="532"/>
        <v>0.74275482019999994</v>
      </c>
      <c r="AJ461" s="176">
        <f t="shared" si="527"/>
        <v>1</v>
      </c>
      <c r="AK461" s="176">
        <f t="shared" si="528"/>
        <v>0.74275482019999994</v>
      </c>
      <c r="AL461" s="176" t="e">
        <f t="shared" si="498"/>
        <v>#DIV/0!</v>
      </c>
      <c r="AM461" s="176" t="e">
        <f t="shared" si="499"/>
        <v>#DIV/0!</v>
      </c>
      <c r="AN461" s="176" t="e">
        <f t="shared" si="500"/>
        <v>#DIV/0!</v>
      </c>
      <c r="AO461" s="176" t="e">
        <f t="shared" si="501"/>
        <v>#DIV/0!</v>
      </c>
      <c r="AP461" s="176" t="e">
        <f t="shared" si="502"/>
        <v>#DIV/0!</v>
      </c>
      <c r="AQ461" s="176" t="e">
        <f t="shared" si="503"/>
        <v>#DIV/0!</v>
      </c>
      <c r="AR461" s="176" t="e">
        <f t="shared" si="504"/>
        <v>#DIV/0!</v>
      </c>
      <c r="AS461" s="176" t="e">
        <f t="shared" si="505"/>
        <v>#DIV/0!</v>
      </c>
      <c r="AT461" s="176" t="e">
        <f t="shared" si="506"/>
        <v>#DIV/0!</v>
      </c>
      <c r="AU461" s="176">
        <f t="shared" si="507"/>
        <v>0.82850321346666667</v>
      </c>
      <c r="AV461" s="176">
        <f t="shared" si="529"/>
        <v>0.85300275440000006</v>
      </c>
    </row>
    <row r="462" spans="1:48" x14ac:dyDescent="0.25">
      <c r="A462" s="4">
        <v>30402</v>
      </c>
      <c r="B462" s="5" t="s">
        <v>692</v>
      </c>
      <c r="C462" s="6">
        <f t="shared" ref="C462:N464" si="533">+C463</f>
        <v>42916666.666666664</v>
      </c>
      <c r="D462" s="6">
        <f t="shared" si="533"/>
        <v>42916666.666666664</v>
      </c>
      <c r="E462" s="6">
        <f t="shared" si="533"/>
        <v>42916666.666666664</v>
      </c>
      <c r="F462" s="6">
        <f t="shared" si="533"/>
        <v>42916666.666666664</v>
      </c>
      <c r="G462" s="6">
        <f t="shared" si="533"/>
        <v>42916666.666666664</v>
      </c>
      <c r="H462" s="6">
        <f t="shared" si="533"/>
        <v>42916666.666666664</v>
      </c>
      <c r="I462" s="6">
        <f t="shared" si="533"/>
        <v>42916666.666666664</v>
      </c>
      <c r="J462" s="6">
        <f t="shared" si="533"/>
        <v>42916666.666666664</v>
      </c>
      <c r="K462" s="6">
        <f t="shared" si="533"/>
        <v>42916666.666666664</v>
      </c>
      <c r="L462" s="6">
        <f t="shared" si="533"/>
        <v>42916666.666666664</v>
      </c>
      <c r="M462" s="6">
        <f t="shared" si="533"/>
        <v>42916666.666666664</v>
      </c>
      <c r="N462" s="6">
        <f t="shared" si="533"/>
        <v>42916666.666666664</v>
      </c>
      <c r="O462" s="6">
        <f t="shared" si="525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f t="shared" ref="W462:W464" si="534">+W463</f>
        <v>0</v>
      </c>
      <c r="X462" s="6"/>
      <c r="Y462" s="6"/>
      <c r="Z462" s="6"/>
      <c r="AA462" s="6"/>
      <c r="AB462" s="6"/>
      <c r="AC462" s="6"/>
      <c r="AD462" s="6"/>
      <c r="AE462" s="6"/>
      <c r="AF462" s="6">
        <f t="shared" si="530"/>
        <v>0</v>
      </c>
      <c r="AG462" s="6">
        <f t="shared" si="531"/>
        <v>0</v>
      </c>
      <c r="AI462" s="174">
        <f t="shared" si="532"/>
        <v>1</v>
      </c>
      <c r="AJ462" s="174">
        <f t="shared" si="527"/>
        <v>1</v>
      </c>
      <c r="AK462" s="174">
        <f t="shared" si="528"/>
        <v>1</v>
      </c>
      <c r="AL462" s="174">
        <f t="shared" si="498"/>
        <v>1</v>
      </c>
      <c r="AM462" s="174">
        <f t="shared" si="499"/>
        <v>1</v>
      </c>
      <c r="AN462" s="174">
        <f t="shared" si="500"/>
        <v>1</v>
      </c>
      <c r="AO462" s="174">
        <f t="shared" si="501"/>
        <v>1</v>
      </c>
      <c r="AP462" s="174">
        <f t="shared" si="502"/>
        <v>1</v>
      </c>
      <c r="AQ462" s="174">
        <f t="shared" si="503"/>
        <v>1</v>
      </c>
      <c r="AR462" s="174">
        <f t="shared" si="504"/>
        <v>1</v>
      </c>
      <c r="AS462" s="174">
        <f t="shared" si="505"/>
        <v>1</v>
      </c>
      <c r="AT462" s="174">
        <f t="shared" si="506"/>
        <v>1</v>
      </c>
      <c r="AU462" s="174">
        <f t="shared" si="507"/>
        <v>1</v>
      </c>
      <c r="AV462" s="174">
        <f t="shared" si="529"/>
        <v>1</v>
      </c>
    </row>
    <row r="463" spans="1:48" x14ac:dyDescent="0.25">
      <c r="A463" s="7">
        <v>3040201</v>
      </c>
      <c r="B463" s="8" t="s">
        <v>925</v>
      </c>
      <c r="C463" s="9">
        <f t="shared" si="533"/>
        <v>42916666.666666664</v>
      </c>
      <c r="D463" s="9">
        <f t="shared" si="533"/>
        <v>42916666.666666664</v>
      </c>
      <c r="E463" s="9">
        <f t="shared" si="533"/>
        <v>42916666.666666664</v>
      </c>
      <c r="F463" s="9">
        <f t="shared" si="533"/>
        <v>42916666.666666664</v>
      </c>
      <c r="G463" s="9">
        <f t="shared" si="533"/>
        <v>42916666.666666664</v>
      </c>
      <c r="H463" s="9">
        <f t="shared" si="533"/>
        <v>42916666.666666664</v>
      </c>
      <c r="I463" s="9">
        <f t="shared" si="533"/>
        <v>42916666.666666664</v>
      </c>
      <c r="J463" s="9">
        <f t="shared" si="533"/>
        <v>42916666.666666664</v>
      </c>
      <c r="K463" s="9">
        <f t="shared" si="533"/>
        <v>42916666.666666664</v>
      </c>
      <c r="L463" s="9">
        <f t="shared" si="533"/>
        <v>42916666.666666664</v>
      </c>
      <c r="M463" s="9">
        <f t="shared" si="533"/>
        <v>42916666.666666664</v>
      </c>
      <c r="N463" s="9">
        <f t="shared" si="533"/>
        <v>42916666.666666664</v>
      </c>
      <c r="O463" s="9">
        <f t="shared" si="525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f t="shared" si="534"/>
        <v>0</v>
      </c>
      <c r="X463" s="9"/>
      <c r="Y463" s="9"/>
      <c r="Z463" s="9"/>
      <c r="AA463" s="9"/>
      <c r="AB463" s="9"/>
      <c r="AC463" s="9"/>
      <c r="AD463" s="9"/>
      <c r="AE463" s="9"/>
      <c r="AF463" s="9">
        <f t="shared" si="530"/>
        <v>0</v>
      </c>
      <c r="AG463" s="9">
        <f t="shared" si="531"/>
        <v>0</v>
      </c>
      <c r="AI463" s="175">
        <f t="shared" si="532"/>
        <v>1</v>
      </c>
      <c r="AJ463" s="175">
        <f t="shared" si="527"/>
        <v>1</v>
      </c>
      <c r="AK463" s="175">
        <f t="shared" si="528"/>
        <v>1</v>
      </c>
      <c r="AL463" s="175">
        <f t="shared" si="498"/>
        <v>1</v>
      </c>
      <c r="AM463" s="175">
        <f t="shared" si="499"/>
        <v>1</v>
      </c>
      <c r="AN463" s="175">
        <f t="shared" si="500"/>
        <v>1</v>
      </c>
      <c r="AO463" s="175">
        <f t="shared" si="501"/>
        <v>1</v>
      </c>
      <c r="AP463" s="175">
        <f t="shared" si="502"/>
        <v>1</v>
      </c>
      <c r="AQ463" s="175">
        <f t="shared" si="503"/>
        <v>1</v>
      </c>
      <c r="AR463" s="175">
        <f t="shared" si="504"/>
        <v>1</v>
      </c>
      <c r="AS463" s="175">
        <f t="shared" si="505"/>
        <v>1</v>
      </c>
      <c r="AT463" s="175">
        <f t="shared" si="506"/>
        <v>1</v>
      </c>
      <c r="AU463" s="175">
        <f t="shared" si="507"/>
        <v>1</v>
      </c>
      <c r="AV463" s="175">
        <f t="shared" si="529"/>
        <v>1</v>
      </c>
    </row>
    <row r="464" spans="1:48" x14ac:dyDescent="0.25">
      <c r="A464" s="7">
        <v>304020101</v>
      </c>
      <c r="B464" s="8" t="s">
        <v>694</v>
      </c>
      <c r="C464" s="9">
        <f t="shared" si="533"/>
        <v>42916666.666666664</v>
      </c>
      <c r="D464" s="9">
        <f t="shared" si="533"/>
        <v>42916666.666666664</v>
      </c>
      <c r="E464" s="9">
        <f t="shared" si="533"/>
        <v>42916666.666666664</v>
      </c>
      <c r="F464" s="9">
        <f t="shared" si="533"/>
        <v>42916666.666666664</v>
      </c>
      <c r="G464" s="9">
        <f t="shared" si="533"/>
        <v>42916666.666666664</v>
      </c>
      <c r="H464" s="9">
        <f t="shared" si="533"/>
        <v>42916666.666666664</v>
      </c>
      <c r="I464" s="9">
        <f t="shared" si="533"/>
        <v>42916666.666666664</v>
      </c>
      <c r="J464" s="9">
        <f t="shared" si="533"/>
        <v>42916666.666666664</v>
      </c>
      <c r="K464" s="9">
        <f t="shared" si="533"/>
        <v>42916666.666666664</v>
      </c>
      <c r="L464" s="9">
        <f t="shared" si="533"/>
        <v>42916666.666666664</v>
      </c>
      <c r="M464" s="9">
        <f t="shared" si="533"/>
        <v>42916666.666666664</v>
      </c>
      <c r="N464" s="9">
        <f t="shared" si="533"/>
        <v>42916666.666666664</v>
      </c>
      <c r="O464" s="9">
        <f t="shared" si="525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f t="shared" si="534"/>
        <v>0</v>
      </c>
      <c r="X464" s="9"/>
      <c r="Y464" s="9"/>
      <c r="Z464" s="9"/>
      <c r="AA464" s="9"/>
      <c r="AB464" s="9"/>
      <c r="AC464" s="9"/>
      <c r="AD464" s="9"/>
      <c r="AE464" s="9"/>
      <c r="AF464" s="9">
        <f t="shared" si="530"/>
        <v>0</v>
      </c>
      <c r="AG464" s="9">
        <f t="shared" si="531"/>
        <v>0</v>
      </c>
      <c r="AI464" s="175">
        <f t="shared" si="532"/>
        <v>1</v>
      </c>
      <c r="AJ464" s="175">
        <f t="shared" si="527"/>
        <v>1</v>
      </c>
      <c r="AK464" s="175">
        <f t="shared" si="528"/>
        <v>1</v>
      </c>
      <c r="AL464" s="175">
        <f t="shared" si="498"/>
        <v>1</v>
      </c>
      <c r="AM464" s="175">
        <f t="shared" si="499"/>
        <v>1</v>
      </c>
      <c r="AN464" s="175">
        <f t="shared" si="500"/>
        <v>1</v>
      </c>
      <c r="AO464" s="175">
        <f t="shared" si="501"/>
        <v>1</v>
      </c>
      <c r="AP464" s="175">
        <f t="shared" si="502"/>
        <v>1</v>
      </c>
      <c r="AQ464" s="175">
        <f t="shared" si="503"/>
        <v>1</v>
      </c>
      <c r="AR464" s="175">
        <f t="shared" si="504"/>
        <v>1</v>
      </c>
      <c r="AS464" s="175">
        <f t="shared" si="505"/>
        <v>1</v>
      </c>
      <c r="AT464" s="175">
        <f t="shared" si="506"/>
        <v>1</v>
      </c>
      <c r="AU464" s="175">
        <f t="shared" si="507"/>
        <v>1</v>
      </c>
      <c r="AV464" s="175">
        <f t="shared" si="529"/>
        <v>1</v>
      </c>
    </row>
    <row r="465" spans="1:49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525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61">
        <v>0</v>
      </c>
      <c r="X465" s="21"/>
      <c r="Y465" s="21"/>
      <c r="Z465" s="21"/>
      <c r="AA465" s="21"/>
      <c r="AB465" s="21"/>
      <c r="AC465" s="21"/>
      <c r="AD465" s="21"/>
      <c r="AE465" s="21"/>
      <c r="AF465" s="261">
        <f t="shared" si="530"/>
        <v>0</v>
      </c>
      <c r="AG465" s="21">
        <f t="shared" si="531"/>
        <v>0</v>
      </c>
      <c r="AI465" s="176">
        <f t="shared" si="532"/>
        <v>1</v>
      </c>
      <c r="AJ465" s="176">
        <f t="shared" si="527"/>
        <v>1</v>
      </c>
      <c r="AK465" s="176">
        <f t="shared" si="528"/>
        <v>1</v>
      </c>
      <c r="AL465" s="176">
        <f t="shared" si="498"/>
        <v>1</v>
      </c>
      <c r="AM465" s="176">
        <f t="shared" si="499"/>
        <v>1</v>
      </c>
      <c r="AN465" s="176">
        <f t="shared" si="500"/>
        <v>1</v>
      </c>
      <c r="AO465" s="176">
        <f t="shared" si="501"/>
        <v>1</v>
      </c>
      <c r="AP465" s="176">
        <f t="shared" si="502"/>
        <v>1</v>
      </c>
      <c r="AQ465" s="176">
        <f t="shared" si="503"/>
        <v>1</v>
      </c>
      <c r="AR465" s="176">
        <f t="shared" si="504"/>
        <v>1</v>
      </c>
      <c r="AS465" s="176">
        <f t="shared" si="505"/>
        <v>1</v>
      </c>
      <c r="AT465" s="176">
        <f t="shared" si="506"/>
        <v>1</v>
      </c>
      <c r="AU465" s="176">
        <f t="shared" si="507"/>
        <v>1</v>
      </c>
      <c r="AV465" s="176">
        <f t="shared" si="529"/>
        <v>1</v>
      </c>
    </row>
    <row r="466" spans="1:49" x14ac:dyDescent="0.25">
      <c r="A466" s="4">
        <v>305</v>
      </c>
      <c r="B466" s="5" t="s">
        <v>833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>
        <f t="shared" si="525"/>
        <v>0</v>
      </c>
      <c r="P466" s="184"/>
      <c r="R466" s="185"/>
      <c r="S466" s="182"/>
      <c r="T466" s="184"/>
      <c r="U466" s="184">
        <v>0</v>
      </c>
      <c r="V466" s="184">
        <v>2744447</v>
      </c>
      <c r="W466" s="6">
        <f t="shared" ref="W466" si="535">+W467+W550+W551+W552+W553+W554+W555+W556+W557+W558+W559+W560+W561+W562+W563+W564+W565+W566+W567+W568+W569+W570+W571+W572+W573+W574+W575+W576</f>
        <v>353441384.63</v>
      </c>
      <c r="X466" s="184"/>
      <c r="Y466" s="184"/>
      <c r="Z466" s="184"/>
      <c r="AA466" s="184"/>
      <c r="AB466" s="184"/>
      <c r="AC466" s="184"/>
      <c r="AD466" s="184"/>
      <c r="AE466" s="184"/>
      <c r="AF466" s="6">
        <f t="shared" si="530"/>
        <v>356185831.63</v>
      </c>
      <c r="AG466" s="184">
        <f t="shared" si="531"/>
        <v>356185831.63</v>
      </c>
      <c r="AI466" s="176" t="e">
        <f t="shared" ref="AI466:AI529" si="536">(C466-T466)/C466</f>
        <v>#DIV/0!</v>
      </c>
      <c r="AJ466" s="176" t="e">
        <f t="shared" ref="AJ466:AJ529" si="537">(D466-U466)/D466</f>
        <v>#DIV/0!</v>
      </c>
      <c r="AK466" s="176" t="e">
        <f t="shared" ref="AK466:AK529" si="538">(E466-V466)/E466</f>
        <v>#DIV/0!</v>
      </c>
      <c r="AL466" s="176" t="e">
        <f t="shared" ref="AL466:AL529" si="539">(F466-W466)/F466</f>
        <v>#DIV/0!</v>
      </c>
      <c r="AM466" s="176" t="e">
        <f t="shared" ref="AM466:AM529" si="540">(G466-X466)/G466</f>
        <v>#DIV/0!</v>
      </c>
      <c r="AN466" s="176" t="e">
        <f t="shared" ref="AN466:AN529" si="541">(H466-Y466)/H466</f>
        <v>#DIV/0!</v>
      </c>
      <c r="AO466" s="176" t="e">
        <f t="shared" ref="AO466:AO529" si="542">(I466-Z466)/I466</f>
        <v>#DIV/0!</v>
      </c>
      <c r="AP466" s="176" t="e">
        <f t="shared" ref="AP466:AP529" si="543">(J466-AA466)/J466</f>
        <v>#DIV/0!</v>
      </c>
      <c r="AQ466" s="176" t="e">
        <f t="shared" ref="AQ466:AQ529" si="544">(K466-AB466)/K466</f>
        <v>#DIV/0!</v>
      </c>
      <c r="AR466" s="176" t="e">
        <f t="shared" ref="AR466:AR529" si="545">(L466-AC466)/L466</f>
        <v>#DIV/0!</v>
      </c>
      <c r="AS466" s="176" t="e">
        <f t="shared" ref="AS466:AS529" si="546">(M466-AD466)/M466</f>
        <v>#DIV/0!</v>
      </c>
      <c r="AT466" s="176" t="e">
        <f t="shared" ref="AT466:AT529" si="547">(N466-AE466)/N466</f>
        <v>#DIV/0!</v>
      </c>
      <c r="AU466" s="176" t="e">
        <f t="shared" ref="AU466:AU529" si="548">(O466-AF466)/O466</f>
        <v>#DIV/0!</v>
      </c>
      <c r="AV466" s="176" t="e">
        <f t="shared" ref="AV466:AV529" si="549">(P466-AG466)/P466</f>
        <v>#DIV/0!</v>
      </c>
    </row>
    <row r="467" spans="1:49" x14ac:dyDescent="0.25">
      <c r="A467" s="185">
        <v>30501</v>
      </c>
      <c r="B467" s="259" t="s">
        <v>1237</v>
      </c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>
        <f t="shared" si="525"/>
        <v>0</v>
      </c>
      <c r="P467" s="261"/>
      <c r="R467" s="185"/>
      <c r="S467" s="259"/>
      <c r="T467" s="261"/>
      <c r="U467" s="261"/>
      <c r="V467" s="261"/>
      <c r="W467" s="261">
        <f t="shared" ref="W467" si="550">SUM(W468:W549)</f>
        <v>322730000</v>
      </c>
      <c r="X467" s="261"/>
      <c r="Y467" s="261"/>
      <c r="Z467" s="261"/>
      <c r="AA467" s="261"/>
      <c r="AB467" s="261"/>
      <c r="AC467" s="261"/>
      <c r="AD467" s="261"/>
      <c r="AE467" s="261"/>
      <c r="AF467" s="261">
        <f t="shared" si="530"/>
        <v>322730000</v>
      </c>
      <c r="AG467" s="261">
        <f t="shared" si="531"/>
        <v>322730000</v>
      </c>
      <c r="AI467" s="176" t="e">
        <f t="shared" si="536"/>
        <v>#DIV/0!</v>
      </c>
      <c r="AJ467" s="176" t="e">
        <f t="shared" si="537"/>
        <v>#DIV/0!</v>
      </c>
      <c r="AK467" s="176" t="e">
        <f t="shared" si="538"/>
        <v>#DIV/0!</v>
      </c>
      <c r="AL467" s="176" t="e">
        <f t="shared" si="539"/>
        <v>#DIV/0!</v>
      </c>
      <c r="AM467" s="176" t="e">
        <f t="shared" si="540"/>
        <v>#DIV/0!</v>
      </c>
      <c r="AN467" s="176" t="e">
        <f t="shared" si="541"/>
        <v>#DIV/0!</v>
      </c>
      <c r="AO467" s="176" t="e">
        <f t="shared" si="542"/>
        <v>#DIV/0!</v>
      </c>
      <c r="AP467" s="176" t="e">
        <f t="shared" si="543"/>
        <v>#DIV/0!</v>
      </c>
      <c r="AQ467" s="176" t="e">
        <f t="shared" si="544"/>
        <v>#DIV/0!</v>
      </c>
      <c r="AR467" s="176" t="e">
        <f t="shared" si="545"/>
        <v>#DIV/0!</v>
      </c>
      <c r="AS467" s="176" t="e">
        <f t="shared" si="546"/>
        <v>#DIV/0!</v>
      </c>
      <c r="AT467" s="176" t="e">
        <f t="shared" si="547"/>
        <v>#DIV/0!</v>
      </c>
      <c r="AU467" s="176" t="e">
        <f t="shared" si="548"/>
        <v>#DIV/0!</v>
      </c>
      <c r="AV467" s="176" t="e">
        <f t="shared" si="549"/>
        <v>#DIV/0!</v>
      </c>
      <c r="AW467" s="257"/>
    </row>
    <row r="468" spans="1:49" x14ac:dyDescent="0.25">
      <c r="A468" s="185">
        <v>3050101</v>
      </c>
      <c r="B468" s="259" t="s">
        <v>1238</v>
      </c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>
        <f t="shared" si="525"/>
        <v>0</v>
      </c>
      <c r="P468" s="261"/>
      <c r="R468" s="185"/>
      <c r="S468" s="259"/>
      <c r="T468" s="261"/>
      <c r="U468" s="261"/>
      <c r="V468" s="261"/>
      <c r="W468" s="261">
        <v>0</v>
      </c>
      <c r="X468" s="261"/>
      <c r="Y468" s="261"/>
      <c r="Z468" s="261"/>
      <c r="AA468" s="261"/>
      <c r="AB468" s="261"/>
      <c r="AC468" s="261"/>
      <c r="AD468" s="261"/>
      <c r="AE468" s="261"/>
      <c r="AF468" s="261">
        <f t="shared" si="530"/>
        <v>0</v>
      </c>
      <c r="AG468" s="261">
        <f t="shared" si="531"/>
        <v>0</v>
      </c>
      <c r="AI468" s="176" t="e">
        <f t="shared" si="536"/>
        <v>#DIV/0!</v>
      </c>
      <c r="AJ468" s="176" t="e">
        <f t="shared" si="537"/>
        <v>#DIV/0!</v>
      </c>
      <c r="AK468" s="176" t="e">
        <f t="shared" si="538"/>
        <v>#DIV/0!</v>
      </c>
      <c r="AL468" s="176" t="e">
        <f t="shared" si="539"/>
        <v>#DIV/0!</v>
      </c>
      <c r="AM468" s="176" t="e">
        <f t="shared" si="540"/>
        <v>#DIV/0!</v>
      </c>
      <c r="AN468" s="176" t="e">
        <f t="shared" si="541"/>
        <v>#DIV/0!</v>
      </c>
      <c r="AO468" s="176" t="e">
        <f t="shared" si="542"/>
        <v>#DIV/0!</v>
      </c>
      <c r="AP468" s="176" t="e">
        <f t="shared" si="543"/>
        <v>#DIV/0!</v>
      </c>
      <c r="AQ468" s="176" t="e">
        <f t="shared" si="544"/>
        <v>#DIV/0!</v>
      </c>
      <c r="AR468" s="176" t="e">
        <f t="shared" si="545"/>
        <v>#DIV/0!</v>
      </c>
      <c r="AS468" s="176" t="e">
        <f t="shared" si="546"/>
        <v>#DIV/0!</v>
      </c>
      <c r="AT468" s="176" t="e">
        <f t="shared" si="547"/>
        <v>#DIV/0!</v>
      </c>
      <c r="AU468" s="176" t="e">
        <f t="shared" si="548"/>
        <v>#DIV/0!</v>
      </c>
      <c r="AV468" s="176" t="e">
        <f t="shared" si="549"/>
        <v>#DIV/0!</v>
      </c>
      <c r="AW468" s="257"/>
    </row>
    <row r="469" spans="1:49" x14ac:dyDescent="0.25">
      <c r="A469" s="185">
        <v>3050102</v>
      </c>
      <c r="B469" s="259" t="s">
        <v>1239</v>
      </c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>
        <f t="shared" si="525"/>
        <v>0</v>
      </c>
      <c r="P469" s="261"/>
      <c r="R469" s="185"/>
      <c r="S469" s="259"/>
      <c r="T469" s="261"/>
      <c r="U469" s="261"/>
      <c r="V469" s="261"/>
      <c r="W469" s="261">
        <v>0</v>
      </c>
      <c r="X469" s="261"/>
      <c r="Y469" s="261"/>
      <c r="Z469" s="261"/>
      <c r="AA469" s="261"/>
      <c r="AB469" s="261"/>
      <c r="AC469" s="261"/>
      <c r="AD469" s="261"/>
      <c r="AE469" s="261"/>
      <c r="AF469" s="261">
        <f t="shared" si="530"/>
        <v>0</v>
      </c>
      <c r="AG469" s="261">
        <f t="shared" si="531"/>
        <v>0</v>
      </c>
      <c r="AI469" s="176" t="e">
        <f t="shared" si="536"/>
        <v>#DIV/0!</v>
      </c>
      <c r="AJ469" s="176" t="e">
        <f t="shared" si="537"/>
        <v>#DIV/0!</v>
      </c>
      <c r="AK469" s="176" t="e">
        <f t="shared" si="538"/>
        <v>#DIV/0!</v>
      </c>
      <c r="AL469" s="176" t="e">
        <f t="shared" si="539"/>
        <v>#DIV/0!</v>
      </c>
      <c r="AM469" s="176" t="e">
        <f t="shared" si="540"/>
        <v>#DIV/0!</v>
      </c>
      <c r="AN469" s="176" t="e">
        <f t="shared" si="541"/>
        <v>#DIV/0!</v>
      </c>
      <c r="AO469" s="176" t="e">
        <f t="shared" si="542"/>
        <v>#DIV/0!</v>
      </c>
      <c r="AP469" s="176" t="e">
        <f t="shared" si="543"/>
        <v>#DIV/0!</v>
      </c>
      <c r="AQ469" s="176" t="e">
        <f t="shared" si="544"/>
        <v>#DIV/0!</v>
      </c>
      <c r="AR469" s="176" t="e">
        <f t="shared" si="545"/>
        <v>#DIV/0!</v>
      </c>
      <c r="AS469" s="176" t="e">
        <f t="shared" si="546"/>
        <v>#DIV/0!</v>
      </c>
      <c r="AT469" s="176" t="e">
        <f t="shared" si="547"/>
        <v>#DIV/0!</v>
      </c>
      <c r="AU469" s="176" t="e">
        <f t="shared" si="548"/>
        <v>#DIV/0!</v>
      </c>
      <c r="AV469" s="176" t="e">
        <f t="shared" si="549"/>
        <v>#DIV/0!</v>
      </c>
      <c r="AW469" s="257"/>
    </row>
    <row r="470" spans="1:49" x14ac:dyDescent="0.25">
      <c r="A470" s="185">
        <v>3050103</v>
      </c>
      <c r="B470" s="259" t="s">
        <v>1240</v>
      </c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>
        <f t="shared" si="525"/>
        <v>0</v>
      </c>
      <c r="P470" s="261"/>
      <c r="R470" s="185"/>
      <c r="S470" s="259"/>
      <c r="T470" s="261"/>
      <c r="U470" s="261"/>
      <c r="V470" s="261"/>
      <c r="W470" s="261">
        <v>0</v>
      </c>
      <c r="X470" s="261"/>
      <c r="Y470" s="261"/>
      <c r="Z470" s="261"/>
      <c r="AA470" s="261"/>
      <c r="AB470" s="261"/>
      <c r="AC470" s="261"/>
      <c r="AD470" s="261"/>
      <c r="AE470" s="261"/>
      <c r="AF470" s="261">
        <f t="shared" si="530"/>
        <v>0</v>
      </c>
      <c r="AG470" s="261">
        <f t="shared" si="531"/>
        <v>0</v>
      </c>
      <c r="AI470" s="176" t="e">
        <f t="shared" si="536"/>
        <v>#DIV/0!</v>
      </c>
      <c r="AJ470" s="176" t="e">
        <f t="shared" si="537"/>
        <v>#DIV/0!</v>
      </c>
      <c r="AK470" s="176" t="e">
        <f t="shared" si="538"/>
        <v>#DIV/0!</v>
      </c>
      <c r="AL470" s="176" t="e">
        <f t="shared" si="539"/>
        <v>#DIV/0!</v>
      </c>
      <c r="AM470" s="176" t="e">
        <f t="shared" si="540"/>
        <v>#DIV/0!</v>
      </c>
      <c r="AN470" s="176" t="e">
        <f t="shared" si="541"/>
        <v>#DIV/0!</v>
      </c>
      <c r="AO470" s="176" t="e">
        <f t="shared" si="542"/>
        <v>#DIV/0!</v>
      </c>
      <c r="AP470" s="176" t="e">
        <f t="shared" si="543"/>
        <v>#DIV/0!</v>
      </c>
      <c r="AQ470" s="176" t="e">
        <f t="shared" si="544"/>
        <v>#DIV/0!</v>
      </c>
      <c r="AR470" s="176" t="e">
        <f t="shared" si="545"/>
        <v>#DIV/0!</v>
      </c>
      <c r="AS470" s="176" t="e">
        <f t="shared" si="546"/>
        <v>#DIV/0!</v>
      </c>
      <c r="AT470" s="176" t="e">
        <f t="shared" si="547"/>
        <v>#DIV/0!</v>
      </c>
      <c r="AU470" s="176" t="e">
        <f t="shared" si="548"/>
        <v>#DIV/0!</v>
      </c>
      <c r="AV470" s="176" t="e">
        <f t="shared" si="549"/>
        <v>#DIV/0!</v>
      </c>
      <c r="AW470" s="257"/>
    </row>
    <row r="471" spans="1:49" x14ac:dyDescent="0.25">
      <c r="A471" s="185">
        <v>3050104</v>
      </c>
      <c r="B471" s="259" t="s">
        <v>1241</v>
      </c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>
        <f t="shared" si="525"/>
        <v>0</v>
      </c>
      <c r="P471" s="261"/>
      <c r="R471" s="185"/>
      <c r="S471" s="259"/>
      <c r="T471" s="261"/>
      <c r="U471" s="261"/>
      <c r="V471" s="261"/>
      <c r="W471" s="261">
        <v>0</v>
      </c>
      <c r="X471" s="261"/>
      <c r="Y471" s="261"/>
      <c r="Z471" s="261"/>
      <c r="AA471" s="261"/>
      <c r="AB471" s="261"/>
      <c r="AC471" s="261"/>
      <c r="AD471" s="261"/>
      <c r="AE471" s="261"/>
      <c r="AF471" s="261">
        <f t="shared" si="530"/>
        <v>0</v>
      </c>
      <c r="AG471" s="261">
        <f t="shared" si="531"/>
        <v>0</v>
      </c>
      <c r="AI471" s="176" t="e">
        <f t="shared" si="536"/>
        <v>#DIV/0!</v>
      </c>
      <c r="AJ471" s="176" t="e">
        <f t="shared" si="537"/>
        <v>#DIV/0!</v>
      </c>
      <c r="AK471" s="176" t="e">
        <f t="shared" si="538"/>
        <v>#DIV/0!</v>
      </c>
      <c r="AL471" s="176" t="e">
        <f t="shared" si="539"/>
        <v>#DIV/0!</v>
      </c>
      <c r="AM471" s="176" t="e">
        <f t="shared" si="540"/>
        <v>#DIV/0!</v>
      </c>
      <c r="AN471" s="176" t="e">
        <f t="shared" si="541"/>
        <v>#DIV/0!</v>
      </c>
      <c r="AO471" s="176" t="e">
        <f t="shared" si="542"/>
        <v>#DIV/0!</v>
      </c>
      <c r="AP471" s="176" t="e">
        <f t="shared" si="543"/>
        <v>#DIV/0!</v>
      </c>
      <c r="AQ471" s="176" t="e">
        <f t="shared" si="544"/>
        <v>#DIV/0!</v>
      </c>
      <c r="AR471" s="176" t="e">
        <f t="shared" si="545"/>
        <v>#DIV/0!</v>
      </c>
      <c r="AS471" s="176" t="e">
        <f t="shared" si="546"/>
        <v>#DIV/0!</v>
      </c>
      <c r="AT471" s="176" t="e">
        <f t="shared" si="547"/>
        <v>#DIV/0!</v>
      </c>
      <c r="AU471" s="176" t="e">
        <f t="shared" si="548"/>
        <v>#DIV/0!</v>
      </c>
      <c r="AV471" s="176" t="e">
        <f t="shared" si="549"/>
        <v>#DIV/0!</v>
      </c>
      <c r="AW471" s="257"/>
    </row>
    <row r="472" spans="1:49" x14ac:dyDescent="0.25">
      <c r="A472" s="185">
        <v>3050105</v>
      </c>
      <c r="B472" s="259" t="s">
        <v>1242</v>
      </c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>
        <f t="shared" si="525"/>
        <v>0</v>
      </c>
      <c r="P472" s="261"/>
      <c r="R472" s="185"/>
      <c r="S472" s="259"/>
      <c r="T472" s="261"/>
      <c r="U472" s="261"/>
      <c r="V472" s="261"/>
      <c r="W472" s="261">
        <v>0</v>
      </c>
      <c r="X472" s="261"/>
      <c r="Y472" s="261"/>
      <c r="Z472" s="261"/>
      <c r="AA472" s="261"/>
      <c r="AB472" s="261"/>
      <c r="AC472" s="261"/>
      <c r="AD472" s="261"/>
      <c r="AE472" s="261"/>
      <c r="AF472" s="261">
        <f t="shared" si="530"/>
        <v>0</v>
      </c>
      <c r="AG472" s="261">
        <f t="shared" si="531"/>
        <v>0</v>
      </c>
      <c r="AI472" s="176" t="e">
        <f t="shared" si="536"/>
        <v>#DIV/0!</v>
      </c>
      <c r="AJ472" s="176" t="e">
        <f t="shared" si="537"/>
        <v>#DIV/0!</v>
      </c>
      <c r="AK472" s="176" t="e">
        <f t="shared" si="538"/>
        <v>#DIV/0!</v>
      </c>
      <c r="AL472" s="176" t="e">
        <f t="shared" si="539"/>
        <v>#DIV/0!</v>
      </c>
      <c r="AM472" s="176" t="e">
        <f t="shared" si="540"/>
        <v>#DIV/0!</v>
      </c>
      <c r="AN472" s="176" t="e">
        <f t="shared" si="541"/>
        <v>#DIV/0!</v>
      </c>
      <c r="AO472" s="176" t="e">
        <f t="shared" si="542"/>
        <v>#DIV/0!</v>
      </c>
      <c r="AP472" s="176" t="e">
        <f t="shared" si="543"/>
        <v>#DIV/0!</v>
      </c>
      <c r="AQ472" s="176" t="e">
        <f t="shared" si="544"/>
        <v>#DIV/0!</v>
      </c>
      <c r="AR472" s="176" t="e">
        <f t="shared" si="545"/>
        <v>#DIV/0!</v>
      </c>
      <c r="AS472" s="176" t="e">
        <f t="shared" si="546"/>
        <v>#DIV/0!</v>
      </c>
      <c r="AT472" s="176" t="e">
        <f t="shared" si="547"/>
        <v>#DIV/0!</v>
      </c>
      <c r="AU472" s="176" t="e">
        <f t="shared" si="548"/>
        <v>#DIV/0!</v>
      </c>
      <c r="AV472" s="176" t="e">
        <f t="shared" si="549"/>
        <v>#DIV/0!</v>
      </c>
      <c r="AW472" s="257"/>
    </row>
    <row r="473" spans="1:49" x14ac:dyDescent="0.25">
      <c r="A473" s="185">
        <v>3050106</v>
      </c>
      <c r="B473" s="259" t="s">
        <v>1243</v>
      </c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>
        <f t="shared" si="525"/>
        <v>0</v>
      </c>
      <c r="P473" s="261"/>
      <c r="R473" s="185"/>
      <c r="S473" s="259"/>
      <c r="T473" s="261"/>
      <c r="U473" s="261"/>
      <c r="V473" s="261"/>
      <c r="W473" s="261">
        <v>0</v>
      </c>
      <c r="X473" s="261"/>
      <c r="Y473" s="261"/>
      <c r="Z473" s="261"/>
      <c r="AA473" s="261"/>
      <c r="AB473" s="261"/>
      <c r="AC473" s="261"/>
      <c r="AD473" s="261"/>
      <c r="AE473" s="261"/>
      <c r="AF473" s="261">
        <f t="shared" si="530"/>
        <v>0</v>
      </c>
      <c r="AG473" s="261">
        <f t="shared" si="531"/>
        <v>0</v>
      </c>
      <c r="AI473" s="176" t="e">
        <f t="shared" si="536"/>
        <v>#DIV/0!</v>
      </c>
      <c r="AJ473" s="176" t="e">
        <f t="shared" si="537"/>
        <v>#DIV/0!</v>
      </c>
      <c r="AK473" s="176" t="e">
        <f t="shared" si="538"/>
        <v>#DIV/0!</v>
      </c>
      <c r="AL473" s="176" t="e">
        <f t="shared" si="539"/>
        <v>#DIV/0!</v>
      </c>
      <c r="AM473" s="176" t="e">
        <f t="shared" si="540"/>
        <v>#DIV/0!</v>
      </c>
      <c r="AN473" s="176" t="e">
        <f t="shared" si="541"/>
        <v>#DIV/0!</v>
      </c>
      <c r="AO473" s="176" t="e">
        <f t="shared" si="542"/>
        <v>#DIV/0!</v>
      </c>
      <c r="AP473" s="176" t="e">
        <f t="shared" si="543"/>
        <v>#DIV/0!</v>
      </c>
      <c r="AQ473" s="176" t="e">
        <f t="shared" si="544"/>
        <v>#DIV/0!</v>
      </c>
      <c r="AR473" s="176" t="e">
        <f t="shared" si="545"/>
        <v>#DIV/0!</v>
      </c>
      <c r="AS473" s="176" t="e">
        <f t="shared" si="546"/>
        <v>#DIV/0!</v>
      </c>
      <c r="AT473" s="176" t="e">
        <f t="shared" si="547"/>
        <v>#DIV/0!</v>
      </c>
      <c r="AU473" s="176" t="e">
        <f t="shared" si="548"/>
        <v>#DIV/0!</v>
      </c>
      <c r="AV473" s="176" t="e">
        <f t="shared" si="549"/>
        <v>#DIV/0!</v>
      </c>
    </row>
    <row r="474" spans="1:49" x14ac:dyDescent="0.25">
      <c r="A474" s="185">
        <v>3050107</v>
      </c>
      <c r="B474" s="259" t="s">
        <v>1244</v>
      </c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>
        <f t="shared" si="525"/>
        <v>0</v>
      </c>
      <c r="P474" s="261"/>
      <c r="R474" s="185"/>
      <c r="S474" s="259"/>
      <c r="T474" s="261"/>
      <c r="U474" s="261"/>
      <c r="V474" s="261"/>
      <c r="W474" s="261">
        <v>0</v>
      </c>
      <c r="X474" s="261"/>
      <c r="Y474" s="261"/>
      <c r="Z474" s="261"/>
      <c r="AA474" s="261"/>
      <c r="AB474" s="261"/>
      <c r="AC474" s="261"/>
      <c r="AD474" s="261"/>
      <c r="AE474" s="261"/>
      <c r="AF474" s="261">
        <f t="shared" si="530"/>
        <v>0</v>
      </c>
      <c r="AG474" s="261">
        <f t="shared" si="531"/>
        <v>0</v>
      </c>
      <c r="AI474" s="176" t="e">
        <f t="shared" si="536"/>
        <v>#DIV/0!</v>
      </c>
      <c r="AJ474" s="176" t="e">
        <f t="shared" si="537"/>
        <v>#DIV/0!</v>
      </c>
      <c r="AK474" s="176" t="e">
        <f t="shared" si="538"/>
        <v>#DIV/0!</v>
      </c>
      <c r="AL474" s="176" t="e">
        <f t="shared" si="539"/>
        <v>#DIV/0!</v>
      </c>
      <c r="AM474" s="176" t="e">
        <f t="shared" si="540"/>
        <v>#DIV/0!</v>
      </c>
      <c r="AN474" s="176" t="e">
        <f t="shared" si="541"/>
        <v>#DIV/0!</v>
      </c>
      <c r="AO474" s="176" t="e">
        <f t="shared" si="542"/>
        <v>#DIV/0!</v>
      </c>
      <c r="AP474" s="176" t="e">
        <f t="shared" si="543"/>
        <v>#DIV/0!</v>
      </c>
      <c r="AQ474" s="176" t="e">
        <f t="shared" si="544"/>
        <v>#DIV/0!</v>
      </c>
      <c r="AR474" s="176" t="e">
        <f t="shared" si="545"/>
        <v>#DIV/0!</v>
      </c>
      <c r="AS474" s="176" t="e">
        <f t="shared" si="546"/>
        <v>#DIV/0!</v>
      </c>
      <c r="AT474" s="176" t="e">
        <f t="shared" si="547"/>
        <v>#DIV/0!</v>
      </c>
      <c r="AU474" s="176" t="e">
        <f t="shared" si="548"/>
        <v>#DIV/0!</v>
      </c>
      <c r="AV474" s="176" t="e">
        <f t="shared" si="549"/>
        <v>#DIV/0!</v>
      </c>
    </row>
    <row r="475" spans="1:49" x14ac:dyDescent="0.25">
      <c r="A475" s="185">
        <v>3050108</v>
      </c>
      <c r="B475" s="259" t="s">
        <v>1245</v>
      </c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>
        <f t="shared" si="525"/>
        <v>0</v>
      </c>
      <c r="P475" s="261"/>
      <c r="R475" s="185"/>
      <c r="S475" s="259"/>
      <c r="T475" s="261"/>
      <c r="U475" s="261"/>
      <c r="V475" s="261"/>
      <c r="W475" s="261">
        <v>0</v>
      </c>
      <c r="X475" s="261"/>
      <c r="Y475" s="261"/>
      <c r="Z475" s="261"/>
      <c r="AA475" s="261"/>
      <c r="AB475" s="261"/>
      <c r="AC475" s="261"/>
      <c r="AD475" s="261"/>
      <c r="AE475" s="261"/>
      <c r="AF475" s="261">
        <f t="shared" si="530"/>
        <v>0</v>
      </c>
      <c r="AG475" s="261">
        <f t="shared" si="531"/>
        <v>0</v>
      </c>
      <c r="AI475" s="176" t="e">
        <f t="shared" si="536"/>
        <v>#DIV/0!</v>
      </c>
      <c r="AJ475" s="176" t="e">
        <f t="shared" si="537"/>
        <v>#DIV/0!</v>
      </c>
      <c r="AK475" s="176" t="e">
        <f t="shared" si="538"/>
        <v>#DIV/0!</v>
      </c>
      <c r="AL475" s="176" t="e">
        <f t="shared" si="539"/>
        <v>#DIV/0!</v>
      </c>
      <c r="AM475" s="176" t="e">
        <f t="shared" si="540"/>
        <v>#DIV/0!</v>
      </c>
      <c r="AN475" s="176" t="e">
        <f t="shared" si="541"/>
        <v>#DIV/0!</v>
      </c>
      <c r="AO475" s="176" t="e">
        <f t="shared" si="542"/>
        <v>#DIV/0!</v>
      </c>
      <c r="AP475" s="176" t="e">
        <f t="shared" si="543"/>
        <v>#DIV/0!</v>
      </c>
      <c r="AQ475" s="176" t="e">
        <f t="shared" si="544"/>
        <v>#DIV/0!</v>
      </c>
      <c r="AR475" s="176" t="e">
        <f t="shared" si="545"/>
        <v>#DIV/0!</v>
      </c>
      <c r="AS475" s="176" t="e">
        <f t="shared" si="546"/>
        <v>#DIV/0!</v>
      </c>
      <c r="AT475" s="176" t="e">
        <f t="shared" si="547"/>
        <v>#DIV/0!</v>
      </c>
      <c r="AU475" s="176" t="e">
        <f t="shared" si="548"/>
        <v>#DIV/0!</v>
      </c>
      <c r="AV475" s="176" t="e">
        <f t="shared" si="549"/>
        <v>#DIV/0!</v>
      </c>
    </row>
    <row r="476" spans="1:49" x14ac:dyDescent="0.25">
      <c r="A476" s="185">
        <v>3050109</v>
      </c>
      <c r="B476" s="259" t="s">
        <v>1246</v>
      </c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>
        <f t="shared" si="525"/>
        <v>0</v>
      </c>
      <c r="P476" s="261"/>
      <c r="R476" s="185"/>
      <c r="S476" s="259"/>
      <c r="T476" s="261"/>
      <c r="U476" s="261"/>
      <c r="V476" s="261"/>
      <c r="W476" s="261">
        <v>0</v>
      </c>
      <c r="X476" s="261"/>
      <c r="Y476" s="261"/>
      <c r="Z476" s="261"/>
      <c r="AA476" s="261"/>
      <c r="AB476" s="261"/>
      <c r="AC476" s="261"/>
      <c r="AD476" s="261"/>
      <c r="AE476" s="261"/>
      <c r="AF476" s="261">
        <f t="shared" si="530"/>
        <v>0</v>
      </c>
      <c r="AG476" s="261">
        <f t="shared" si="531"/>
        <v>0</v>
      </c>
      <c r="AI476" s="176" t="e">
        <f t="shared" si="536"/>
        <v>#DIV/0!</v>
      </c>
      <c r="AJ476" s="176" t="e">
        <f t="shared" si="537"/>
        <v>#DIV/0!</v>
      </c>
      <c r="AK476" s="176" t="e">
        <f t="shared" si="538"/>
        <v>#DIV/0!</v>
      </c>
      <c r="AL476" s="176" t="e">
        <f t="shared" si="539"/>
        <v>#DIV/0!</v>
      </c>
      <c r="AM476" s="176" t="e">
        <f t="shared" si="540"/>
        <v>#DIV/0!</v>
      </c>
      <c r="AN476" s="176" t="e">
        <f t="shared" si="541"/>
        <v>#DIV/0!</v>
      </c>
      <c r="AO476" s="176" t="e">
        <f t="shared" si="542"/>
        <v>#DIV/0!</v>
      </c>
      <c r="AP476" s="176" t="e">
        <f t="shared" si="543"/>
        <v>#DIV/0!</v>
      </c>
      <c r="AQ476" s="176" t="e">
        <f t="shared" si="544"/>
        <v>#DIV/0!</v>
      </c>
      <c r="AR476" s="176" t="e">
        <f t="shared" si="545"/>
        <v>#DIV/0!</v>
      </c>
      <c r="AS476" s="176" t="e">
        <f t="shared" si="546"/>
        <v>#DIV/0!</v>
      </c>
      <c r="AT476" s="176" t="e">
        <f t="shared" si="547"/>
        <v>#DIV/0!</v>
      </c>
      <c r="AU476" s="176" t="e">
        <f t="shared" si="548"/>
        <v>#DIV/0!</v>
      </c>
      <c r="AV476" s="176" t="e">
        <f t="shared" si="549"/>
        <v>#DIV/0!</v>
      </c>
    </row>
    <row r="477" spans="1:49" x14ac:dyDescent="0.25">
      <c r="A477" s="185">
        <v>3050110</v>
      </c>
      <c r="B477" s="259" t="s">
        <v>1247</v>
      </c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>
        <f t="shared" si="525"/>
        <v>0</v>
      </c>
      <c r="P477" s="261"/>
      <c r="R477" s="185"/>
      <c r="S477" s="259"/>
      <c r="T477" s="261"/>
      <c r="U477" s="261"/>
      <c r="V477" s="261"/>
      <c r="W477" s="261">
        <v>0</v>
      </c>
      <c r="X477" s="261"/>
      <c r="Y477" s="261"/>
      <c r="Z477" s="261"/>
      <c r="AA477" s="261"/>
      <c r="AB477" s="261"/>
      <c r="AC477" s="261"/>
      <c r="AD477" s="261"/>
      <c r="AE477" s="261"/>
      <c r="AF477" s="261">
        <f t="shared" si="530"/>
        <v>0</v>
      </c>
      <c r="AG477" s="261">
        <f t="shared" si="531"/>
        <v>0</v>
      </c>
      <c r="AI477" s="176" t="e">
        <f t="shared" si="536"/>
        <v>#DIV/0!</v>
      </c>
      <c r="AJ477" s="176" t="e">
        <f t="shared" si="537"/>
        <v>#DIV/0!</v>
      </c>
      <c r="AK477" s="176" t="e">
        <f t="shared" si="538"/>
        <v>#DIV/0!</v>
      </c>
      <c r="AL477" s="176" t="e">
        <f t="shared" si="539"/>
        <v>#DIV/0!</v>
      </c>
      <c r="AM477" s="176" t="e">
        <f t="shared" si="540"/>
        <v>#DIV/0!</v>
      </c>
      <c r="AN477" s="176" t="e">
        <f t="shared" si="541"/>
        <v>#DIV/0!</v>
      </c>
      <c r="AO477" s="176" t="e">
        <f t="shared" si="542"/>
        <v>#DIV/0!</v>
      </c>
      <c r="AP477" s="176" t="e">
        <f t="shared" si="543"/>
        <v>#DIV/0!</v>
      </c>
      <c r="AQ477" s="176" t="e">
        <f t="shared" si="544"/>
        <v>#DIV/0!</v>
      </c>
      <c r="AR477" s="176" t="e">
        <f t="shared" si="545"/>
        <v>#DIV/0!</v>
      </c>
      <c r="AS477" s="176" t="e">
        <f t="shared" si="546"/>
        <v>#DIV/0!</v>
      </c>
      <c r="AT477" s="176" t="e">
        <f t="shared" si="547"/>
        <v>#DIV/0!</v>
      </c>
      <c r="AU477" s="176" t="e">
        <f t="shared" si="548"/>
        <v>#DIV/0!</v>
      </c>
      <c r="AV477" s="176" t="e">
        <f t="shared" si="549"/>
        <v>#DIV/0!</v>
      </c>
    </row>
    <row r="478" spans="1:49" x14ac:dyDescent="0.25">
      <c r="A478" s="185">
        <v>3050111</v>
      </c>
      <c r="B478" s="259" t="s">
        <v>1248</v>
      </c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>
        <f t="shared" si="525"/>
        <v>0</v>
      </c>
      <c r="P478" s="261"/>
      <c r="R478" s="185"/>
      <c r="S478" s="259"/>
      <c r="T478" s="261"/>
      <c r="U478" s="261"/>
      <c r="V478" s="261"/>
      <c r="W478" s="261">
        <v>0</v>
      </c>
      <c r="X478" s="261"/>
      <c r="Y478" s="261"/>
      <c r="Z478" s="261"/>
      <c r="AA478" s="261"/>
      <c r="AB478" s="261"/>
      <c r="AC478" s="261"/>
      <c r="AD478" s="261"/>
      <c r="AE478" s="261"/>
      <c r="AF478" s="261">
        <f t="shared" si="530"/>
        <v>0</v>
      </c>
      <c r="AG478" s="261">
        <f t="shared" si="531"/>
        <v>0</v>
      </c>
      <c r="AI478" s="176" t="e">
        <f t="shared" si="536"/>
        <v>#DIV/0!</v>
      </c>
      <c r="AJ478" s="176" t="e">
        <f t="shared" si="537"/>
        <v>#DIV/0!</v>
      </c>
      <c r="AK478" s="176" t="e">
        <f t="shared" si="538"/>
        <v>#DIV/0!</v>
      </c>
      <c r="AL478" s="176" t="e">
        <f t="shared" si="539"/>
        <v>#DIV/0!</v>
      </c>
      <c r="AM478" s="176" t="e">
        <f t="shared" si="540"/>
        <v>#DIV/0!</v>
      </c>
      <c r="AN478" s="176" t="e">
        <f t="shared" si="541"/>
        <v>#DIV/0!</v>
      </c>
      <c r="AO478" s="176" t="e">
        <f t="shared" si="542"/>
        <v>#DIV/0!</v>
      </c>
      <c r="AP478" s="176" t="e">
        <f t="shared" si="543"/>
        <v>#DIV/0!</v>
      </c>
      <c r="AQ478" s="176" t="e">
        <f t="shared" si="544"/>
        <v>#DIV/0!</v>
      </c>
      <c r="AR478" s="176" t="e">
        <f t="shared" si="545"/>
        <v>#DIV/0!</v>
      </c>
      <c r="AS478" s="176" t="e">
        <f t="shared" si="546"/>
        <v>#DIV/0!</v>
      </c>
      <c r="AT478" s="176" t="e">
        <f t="shared" si="547"/>
        <v>#DIV/0!</v>
      </c>
      <c r="AU478" s="176" t="e">
        <f t="shared" si="548"/>
        <v>#DIV/0!</v>
      </c>
      <c r="AV478" s="176" t="e">
        <f t="shared" si="549"/>
        <v>#DIV/0!</v>
      </c>
    </row>
    <row r="479" spans="1:49" x14ac:dyDescent="0.25">
      <c r="A479" s="185">
        <v>3050112</v>
      </c>
      <c r="B479" s="259" t="s">
        <v>1249</v>
      </c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>
        <f t="shared" si="525"/>
        <v>0</v>
      </c>
      <c r="P479" s="261"/>
      <c r="R479" s="185"/>
      <c r="S479" s="259"/>
      <c r="T479" s="261"/>
      <c r="U479" s="261"/>
      <c r="V479" s="261"/>
      <c r="W479" s="261">
        <v>0</v>
      </c>
      <c r="X479" s="261"/>
      <c r="Y479" s="261"/>
      <c r="Z479" s="261"/>
      <c r="AA479" s="261"/>
      <c r="AB479" s="261"/>
      <c r="AC479" s="261"/>
      <c r="AD479" s="261"/>
      <c r="AE479" s="261"/>
      <c r="AF479" s="261">
        <f t="shared" si="530"/>
        <v>0</v>
      </c>
      <c r="AG479" s="261">
        <f t="shared" si="531"/>
        <v>0</v>
      </c>
      <c r="AI479" s="176" t="e">
        <f t="shared" si="536"/>
        <v>#DIV/0!</v>
      </c>
      <c r="AJ479" s="176" t="e">
        <f t="shared" si="537"/>
        <v>#DIV/0!</v>
      </c>
      <c r="AK479" s="176" t="e">
        <f t="shared" si="538"/>
        <v>#DIV/0!</v>
      </c>
      <c r="AL479" s="176" t="e">
        <f t="shared" si="539"/>
        <v>#DIV/0!</v>
      </c>
      <c r="AM479" s="176" t="e">
        <f t="shared" si="540"/>
        <v>#DIV/0!</v>
      </c>
      <c r="AN479" s="176" t="e">
        <f t="shared" si="541"/>
        <v>#DIV/0!</v>
      </c>
      <c r="AO479" s="176" t="e">
        <f t="shared" si="542"/>
        <v>#DIV/0!</v>
      </c>
      <c r="AP479" s="176" t="e">
        <f t="shared" si="543"/>
        <v>#DIV/0!</v>
      </c>
      <c r="AQ479" s="176" t="e">
        <f t="shared" si="544"/>
        <v>#DIV/0!</v>
      </c>
      <c r="AR479" s="176" t="e">
        <f t="shared" si="545"/>
        <v>#DIV/0!</v>
      </c>
      <c r="AS479" s="176" t="e">
        <f t="shared" si="546"/>
        <v>#DIV/0!</v>
      </c>
      <c r="AT479" s="176" t="e">
        <f t="shared" si="547"/>
        <v>#DIV/0!</v>
      </c>
      <c r="AU479" s="176" t="e">
        <f t="shared" si="548"/>
        <v>#DIV/0!</v>
      </c>
      <c r="AV479" s="176" t="e">
        <f t="shared" si="549"/>
        <v>#DIV/0!</v>
      </c>
    </row>
    <row r="480" spans="1:49" x14ac:dyDescent="0.25">
      <c r="A480" s="185">
        <v>3050113</v>
      </c>
      <c r="B480" s="259" t="s">
        <v>1250</v>
      </c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>
        <f t="shared" si="525"/>
        <v>0</v>
      </c>
      <c r="P480" s="261"/>
      <c r="R480" s="185"/>
      <c r="S480" s="259"/>
      <c r="T480" s="261"/>
      <c r="U480" s="261"/>
      <c r="V480" s="261"/>
      <c r="W480" s="261">
        <v>0</v>
      </c>
      <c r="X480" s="261"/>
      <c r="Y480" s="261"/>
      <c r="Z480" s="261"/>
      <c r="AA480" s="261"/>
      <c r="AB480" s="261"/>
      <c r="AC480" s="261"/>
      <c r="AD480" s="261"/>
      <c r="AE480" s="261"/>
      <c r="AF480" s="261">
        <f t="shared" si="530"/>
        <v>0</v>
      </c>
      <c r="AG480" s="261">
        <f t="shared" si="531"/>
        <v>0</v>
      </c>
      <c r="AI480" s="176" t="e">
        <f t="shared" si="536"/>
        <v>#DIV/0!</v>
      </c>
      <c r="AJ480" s="176" t="e">
        <f t="shared" si="537"/>
        <v>#DIV/0!</v>
      </c>
      <c r="AK480" s="176" t="e">
        <f t="shared" si="538"/>
        <v>#DIV/0!</v>
      </c>
      <c r="AL480" s="176" t="e">
        <f t="shared" si="539"/>
        <v>#DIV/0!</v>
      </c>
      <c r="AM480" s="176" t="e">
        <f t="shared" si="540"/>
        <v>#DIV/0!</v>
      </c>
      <c r="AN480" s="176" t="e">
        <f t="shared" si="541"/>
        <v>#DIV/0!</v>
      </c>
      <c r="AO480" s="176" t="e">
        <f t="shared" si="542"/>
        <v>#DIV/0!</v>
      </c>
      <c r="AP480" s="176" t="e">
        <f t="shared" si="543"/>
        <v>#DIV/0!</v>
      </c>
      <c r="AQ480" s="176" t="e">
        <f t="shared" si="544"/>
        <v>#DIV/0!</v>
      </c>
      <c r="AR480" s="176" t="e">
        <f t="shared" si="545"/>
        <v>#DIV/0!</v>
      </c>
      <c r="AS480" s="176" t="e">
        <f t="shared" si="546"/>
        <v>#DIV/0!</v>
      </c>
      <c r="AT480" s="176" t="e">
        <f t="shared" si="547"/>
        <v>#DIV/0!</v>
      </c>
      <c r="AU480" s="176" t="e">
        <f t="shared" si="548"/>
        <v>#DIV/0!</v>
      </c>
      <c r="AV480" s="176" t="e">
        <f t="shared" si="549"/>
        <v>#DIV/0!</v>
      </c>
    </row>
    <row r="481" spans="1:48" x14ac:dyDescent="0.25">
      <c r="A481" s="185">
        <v>3050114</v>
      </c>
      <c r="B481" s="259" t="s">
        <v>1251</v>
      </c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>
        <f t="shared" si="525"/>
        <v>0</v>
      </c>
      <c r="P481" s="261"/>
      <c r="R481" s="185"/>
      <c r="S481" s="259"/>
      <c r="T481" s="261"/>
      <c r="U481" s="261"/>
      <c r="V481" s="261"/>
      <c r="W481" s="261">
        <v>0</v>
      </c>
      <c r="X481" s="261"/>
      <c r="Y481" s="261"/>
      <c r="Z481" s="261"/>
      <c r="AA481" s="261"/>
      <c r="AB481" s="261"/>
      <c r="AC481" s="261"/>
      <c r="AD481" s="261"/>
      <c r="AE481" s="261"/>
      <c r="AF481" s="261">
        <f t="shared" si="530"/>
        <v>0</v>
      </c>
      <c r="AG481" s="261">
        <f t="shared" si="531"/>
        <v>0</v>
      </c>
      <c r="AI481" s="176" t="e">
        <f t="shared" si="536"/>
        <v>#DIV/0!</v>
      </c>
      <c r="AJ481" s="176" t="e">
        <f t="shared" si="537"/>
        <v>#DIV/0!</v>
      </c>
      <c r="AK481" s="176" t="e">
        <f t="shared" si="538"/>
        <v>#DIV/0!</v>
      </c>
      <c r="AL481" s="176" t="e">
        <f t="shared" si="539"/>
        <v>#DIV/0!</v>
      </c>
      <c r="AM481" s="176" t="e">
        <f t="shared" si="540"/>
        <v>#DIV/0!</v>
      </c>
      <c r="AN481" s="176" t="e">
        <f t="shared" si="541"/>
        <v>#DIV/0!</v>
      </c>
      <c r="AO481" s="176" t="e">
        <f t="shared" si="542"/>
        <v>#DIV/0!</v>
      </c>
      <c r="AP481" s="176" t="e">
        <f t="shared" si="543"/>
        <v>#DIV/0!</v>
      </c>
      <c r="AQ481" s="176" t="e">
        <f t="shared" si="544"/>
        <v>#DIV/0!</v>
      </c>
      <c r="AR481" s="176" t="e">
        <f t="shared" si="545"/>
        <v>#DIV/0!</v>
      </c>
      <c r="AS481" s="176" t="e">
        <f t="shared" si="546"/>
        <v>#DIV/0!</v>
      </c>
      <c r="AT481" s="176" t="e">
        <f t="shared" si="547"/>
        <v>#DIV/0!</v>
      </c>
      <c r="AU481" s="176" t="e">
        <f t="shared" si="548"/>
        <v>#DIV/0!</v>
      </c>
      <c r="AV481" s="176" t="e">
        <f t="shared" si="549"/>
        <v>#DIV/0!</v>
      </c>
    </row>
    <row r="482" spans="1:48" x14ac:dyDescent="0.25">
      <c r="A482" s="185">
        <v>3050115</v>
      </c>
      <c r="B482" s="259" t="s">
        <v>1252</v>
      </c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>
        <f t="shared" si="525"/>
        <v>0</v>
      </c>
      <c r="P482" s="261"/>
      <c r="R482" s="185"/>
      <c r="S482" s="259"/>
      <c r="T482" s="261"/>
      <c r="U482" s="261"/>
      <c r="V482" s="261"/>
      <c r="W482" s="261">
        <v>0</v>
      </c>
      <c r="X482" s="261"/>
      <c r="Y482" s="261"/>
      <c r="Z482" s="261"/>
      <c r="AA482" s="261"/>
      <c r="AB482" s="261"/>
      <c r="AC482" s="261"/>
      <c r="AD482" s="261"/>
      <c r="AE482" s="261"/>
      <c r="AF482" s="261">
        <f t="shared" si="530"/>
        <v>0</v>
      </c>
      <c r="AG482" s="261">
        <f t="shared" si="531"/>
        <v>0</v>
      </c>
      <c r="AI482" s="176" t="e">
        <f t="shared" si="536"/>
        <v>#DIV/0!</v>
      </c>
      <c r="AJ482" s="176" t="e">
        <f t="shared" si="537"/>
        <v>#DIV/0!</v>
      </c>
      <c r="AK482" s="176" t="e">
        <f t="shared" si="538"/>
        <v>#DIV/0!</v>
      </c>
      <c r="AL482" s="176" t="e">
        <f t="shared" si="539"/>
        <v>#DIV/0!</v>
      </c>
      <c r="AM482" s="176" t="e">
        <f t="shared" si="540"/>
        <v>#DIV/0!</v>
      </c>
      <c r="AN482" s="176" t="e">
        <f t="shared" si="541"/>
        <v>#DIV/0!</v>
      </c>
      <c r="AO482" s="176" t="e">
        <f t="shared" si="542"/>
        <v>#DIV/0!</v>
      </c>
      <c r="AP482" s="176" t="e">
        <f t="shared" si="543"/>
        <v>#DIV/0!</v>
      </c>
      <c r="AQ482" s="176" t="e">
        <f t="shared" si="544"/>
        <v>#DIV/0!</v>
      </c>
      <c r="AR482" s="176" t="e">
        <f t="shared" si="545"/>
        <v>#DIV/0!</v>
      </c>
      <c r="AS482" s="176" t="e">
        <f t="shared" si="546"/>
        <v>#DIV/0!</v>
      </c>
      <c r="AT482" s="176" t="e">
        <f t="shared" si="547"/>
        <v>#DIV/0!</v>
      </c>
      <c r="AU482" s="176" t="e">
        <f t="shared" si="548"/>
        <v>#DIV/0!</v>
      </c>
      <c r="AV482" s="176" t="e">
        <f t="shared" si="549"/>
        <v>#DIV/0!</v>
      </c>
    </row>
    <row r="483" spans="1:48" x14ac:dyDescent="0.25">
      <c r="A483" s="185">
        <v>3050116</v>
      </c>
      <c r="B483" s="259" t="s">
        <v>1253</v>
      </c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261"/>
      <c r="N483" s="261"/>
      <c r="O483" s="261">
        <f t="shared" si="525"/>
        <v>0</v>
      </c>
      <c r="P483" s="261"/>
      <c r="R483" s="185"/>
      <c r="S483" s="259"/>
      <c r="T483" s="261"/>
      <c r="U483" s="261"/>
      <c r="V483" s="261"/>
      <c r="W483" s="261">
        <v>0</v>
      </c>
      <c r="X483" s="261"/>
      <c r="Y483" s="261"/>
      <c r="Z483" s="261"/>
      <c r="AA483" s="261"/>
      <c r="AB483" s="261"/>
      <c r="AC483" s="261"/>
      <c r="AD483" s="261"/>
      <c r="AE483" s="261"/>
      <c r="AF483" s="261">
        <f t="shared" si="530"/>
        <v>0</v>
      </c>
      <c r="AG483" s="261">
        <f t="shared" si="531"/>
        <v>0</v>
      </c>
      <c r="AI483" s="176" t="e">
        <f t="shared" si="536"/>
        <v>#DIV/0!</v>
      </c>
      <c r="AJ483" s="176" t="e">
        <f t="shared" si="537"/>
        <v>#DIV/0!</v>
      </c>
      <c r="AK483" s="176" t="e">
        <f t="shared" si="538"/>
        <v>#DIV/0!</v>
      </c>
      <c r="AL483" s="176" t="e">
        <f t="shared" si="539"/>
        <v>#DIV/0!</v>
      </c>
      <c r="AM483" s="176" t="e">
        <f t="shared" si="540"/>
        <v>#DIV/0!</v>
      </c>
      <c r="AN483" s="176" t="e">
        <f t="shared" si="541"/>
        <v>#DIV/0!</v>
      </c>
      <c r="AO483" s="176" t="e">
        <f t="shared" si="542"/>
        <v>#DIV/0!</v>
      </c>
      <c r="AP483" s="176" t="e">
        <f t="shared" si="543"/>
        <v>#DIV/0!</v>
      </c>
      <c r="AQ483" s="176" t="e">
        <f t="shared" si="544"/>
        <v>#DIV/0!</v>
      </c>
      <c r="AR483" s="176" t="e">
        <f t="shared" si="545"/>
        <v>#DIV/0!</v>
      </c>
      <c r="AS483" s="176" t="e">
        <f t="shared" si="546"/>
        <v>#DIV/0!</v>
      </c>
      <c r="AT483" s="176" t="e">
        <f t="shared" si="547"/>
        <v>#DIV/0!</v>
      </c>
      <c r="AU483" s="176" t="e">
        <f t="shared" si="548"/>
        <v>#DIV/0!</v>
      </c>
      <c r="AV483" s="176" t="e">
        <f t="shared" si="549"/>
        <v>#DIV/0!</v>
      </c>
    </row>
    <row r="484" spans="1:48" x14ac:dyDescent="0.25">
      <c r="A484" s="185">
        <v>3050117</v>
      </c>
      <c r="B484" s="259" t="s">
        <v>1254</v>
      </c>
      <c r="C484" s="261"/>
      <c r="D484" s="261"/>
      <c r="E484" s="261"/>
      <c r="F484" s="261"/>
      <c r="G484" s="261"/>
      <c r="H484" s="261"/>
      <c r="I484" s="261"/>
      <c r="J484" s="261"/>
      <c r="K484" s="261"/>
      <c r="L484" s="261"/>
      <c r="M484" s="261"/>
      <c r="N484" s="261"/>
      <c r="O484" s="261">
        <f t="shared" si="525"/>
        <v>0</v>
      </c>
      <c r="P484" s="261"/>
      <c r="R484" s="185"/>
      <c r="S484" s="259"/>
      <c r="T484" s="261"/>
      <c r="U484" s="261"/>
      <c r="V484" s="261"/>
      <c r="W484" s="261">
        <v>0</v>
      </c>
      <c r="X484" s="261"/>
      <c r="Y484" s="261"/>
      <c r="Z484" s="261"/>
      <c r="AA484" s="261"/>
      <c r="AB484" s="261"/>
      <c r="AC484" s="261"/>
      <c r="AD484" s="261"/>
      <c r="AE484" s="261"/>
      <c r="AF484" s="261">
        <f t="shared" si="530"/>
        <v>0</v>
      </c>
      <c r="AG484" s="261">
        <f t="shared" si="531"/>
        <v>0</v>
      </c>
      <c r="AI484" s="176" t="e">
        <f t="shared" si="536"/>
        <v>#DIV/0!</v>
      </c>
      <c r="AJ484" s="176" t="e">
        <f t="shared" si="537"/>
        <v>#DIV/0!</v>
      </c>
      <c r="AK484" s="176" t="e">
        <f t="shared" si="538"/>
        <v>#DIV/0!</v>
      </c>
      <c r="AL484" s="176" t="e">
        <f t="shared" si="539"/>
        <v>#DIV/0!</v>
      </c>
      <c r="AM484" s="176" t="e">
        <f t="shared" si="540"/>
        <v>#DIV/0!</v>
      </c>
      <c r="AN484" s="176" t="e">
        <f t="shared" si="541"/>
        <v>#DIV/0!</v>
      </c>
      <c r="AO484" s="176" t="e">
        <f t="shared" si="542"/>
        <v>#DIV/0!</v>
      </c>
      <c r="AP484" s="176" t="e">
        <f t="shared" si="543"/>
        <v>#DIV/0!</v>
      </c>
      <c r="AQ484" s="176" t="e">
        <f t="shared" si="544"/>
        <v>#DIV/0!</v>
      </c>
      <c r="AR484" s="176" t="e">
        <f t="shared" si="545"/>
        <v>#DIV/0!</v>
      </c>
      <c r="AS484" s="176" t="e">
        <f t="shared" si="546"/>
        <v>#DIV/0!</v>
      </c>
      <c r="AT484" s="176" t="e">
        <f t="shared" si="547"/>
        <v>#DIV/0!</v>
      </c>
      <c r="AU484" s="176" t="e">
        <f t="shared" si="548"/>
        <v>#DIV/0!</v>
      </c>
      <c r="AV484" s="176" t="e">
        <f t="shared" si="549"/>
        <v>#DIV/0!</v>
      </c>
    </row>
    <row r="485" spans="1:48" x14ac:dyDescent="0.25">
      <c r="A485" s="185">
        <v>3050118</v>
      </c>
      <c r="B485" s="259" t="s">
        <v>1255</v>
      </c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>
        <f t="shared" si="525"/>
        <v>0</v>
      </c>
      <c r="P485" s="261"/>
      <c r="R485" s="185"/>
      <c r="S485" s="259"/>
      <c r="T485" s="261"/>
      <c r="U485" s="261"/>
      <c r="V485" s="261"/>
      <c r="W485" s="261">
        <v>0</v>
      </c>
      <c r="X485" s="261"/>
      <c r="Y485" s="261"/>
      <c r="Z485" s="261"/>
      <c r="AA485" s="261"/>
      <c r="AB485" s="261"/>
      <c r="AC485" s="261"/>
      <c r="AD485" s="261"/>
      <c r="AE485" s="261"/>
      <c r="AF485" s="261">
        <f t="shared" si="530"/>
        <v>0</v>
      </c>
      <c r="AG485" s="261">
        <f t="shared" si="531"/>
        <v>0</v>
      </c>
      <c r="AI485" s="176" t="e">
        <f t="shared" si="536"/>
        <v>#DIV/0!</v>
      </c>
      <c r="AJ485" s="176" t="e">
        <f t="shared" si="537"/>
        <v>#DIV/0!</v>
      </c>
      <c r="AK485" s="176" t="e">
        <f t="shared" si="538"/>
        <v>#DIV/0!</v>
      </c>
      <c r="AL485" s="176" t="e">
        <f t="shared" si="539"/>
        <v>#DIV/0!</v>
      </c>
      <c r="AM485" s="176" t="e">
        <f t="shared" si="540"/>
        <v>#DIV/0!</v>
      </c>
      <c r="AN485" s="176" t="e">
        <f t="shared" si="541"/>
        <v>#DIV/0!</v>
      </c>
      <c r="AO485" s="176" t="e">
        <f t="shared" si="542"/>
        <v>#DIV/0!</v>
      </c>
      <c r="AP485" s="176" t="e">
        <f t="shared" si="543"/>
        <v>#DIV/0!</v>
      </c>
      <c r="AQ485" s="176" t="e">
        <f t="shared" si="544"/>
        <v>#DIV/0!</v>
      </c>
      <c r="AR485" s="176" t="e">
        <f t="shared" si="545"/>
        <v>#DIV/0!</v>
      </c>
      <c r="AS485" s="176" t="e">
        <f t="shared" si="546"/>
        <v>#DIV/0!</v>
      </c>
      <c r="AT485" s="176" t="e">
        <f t="shared" si="547"/>
        <v>#DIV/0!</v>
      </c>
      <c r="AU485" s="176" t="e">
        <f t="shared" si="548"/>
        <v>#DIV/0!</v>
      </c>
      <c r="AV485" s="176" t="e">
        <f t="shared" si="549"/>
        <v>#DIV/0!</v>
      </c>
    </row>
    <row r="486" spans="1:48" x14ac:dyDescent="0.25">
      <c r="A486" s="185">
        <v>3050119</v>
      </c>
      <c r="B486" s="259" t="s">
        <v>1256</v>
      </c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>
        <f t="shared" si="525"/>
        <v>0</v>
      </c>
      <c r="P486" s="261"/>
      <c r="R486" s="185"/>
      <c r="S486" s="259"/>
      <c r="T486" s="261"/>
      <c r="U486" s="261"/>
      <c r="V486" s="261"/>
      <c r="W486" s="261">
        <v>0</v>
      </c>
      <c r="X486" s="261"/>
      <c r="Y486" s="261"/>
      <c r="Z486" s="261"/>
      <c r="AA486" s="261"/>
      <c r="AB486" s="261"/>
      <c r="AC486" s="261"/>
      <c r="AD486" s="261"/>
      <c r="AE486" s="261"/>
      <c r="AF486" s="261">
        <f t="shared" si="530"/>
        <v>0</v>
      </c>
      <c r="AG486" s="261">
        <f t="shared" si="531"/>
        <v>0</v>
      </c>
      <c r="AI486" s="176" t="e">
        <f t="shared" si="536"/>
        <v>#DIV/0!</v>
      </c>
      <c r="AJ486" s="176" t="e">
        <f t="shared" si="537"/>
        <v>#DIV/0!</v>
      </c>
      <c r="AK486" s="176" t="e">
        <f t="shared" si="538"/>
        <v>#DIV/0!</v>
      </c>
      <c r="AL486" s="176" t="e">
        <f t="shared" si="539"/>
        <v>#DIV/0!</v>
      </c>
      <c r="AM486" s="176" t="e">
        <f t="shared" si="540"/>
        <v>#DIV/0!</v>
      </c>
      <c r="AN486" s="176" t="e">
        <f t="shared" si="541"/>
        <v>#DIV/0!</v>
      </c>
      <c r="AO486" s="176" t="e">
        <f t="shared" si="542"/>
        <v>#DIV/0!</v>
      </c>
      <c r="AP486" s="176" t="e">
        <f t="shared" si="543"/>
        <v>#DIV/0!</v>
      </c>
      <c r="AQ486" s="176" t="e">
        <f t="shared" si="544"/>
        <v>#DIV/0!</v>
      </c>
      <c r="AR486" s="176" t="e">
        <f t="shared" si="545"/>
        <v>#DIV/0!</v>
      </c>
      <c r="AS486" s="176" t="e">
        <f t="shared" si="546"/>
        <v>#DIV/0!</v>
      </c>
      <c r="AT486" s="176" t="e">
        <f t="shared" si="547"/>
        <v>#DIV/0!</v>
      </c>
      <c r="AU486" s="176" t="e">
        <f t="shared" si="548"/>
        <v>#DIV/0!</v>
      </c>
      <c r="AV486" s="176" t="e">
        <f t="shared" si="549"/>
        <v>#DIV/0!</v>
      </c>
    </row>
    <row r="487" spans="1:48" x14ac:dyDescent="0.25">
      <c r="A487" s="185">
        <v>3050120</v>
      </c>
      <c r="B487" s="259" t="s">
        <v>1257</v>
      </c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>
        <f t="shared" si="525"/>
        <v>0</v>
      </c>
      <c r="P487" s="261"/>
      <c r="R487" s="185"/>
      <c r="S487" s="259"/>
      <c r="T487" s="261"/>
      <c r="U487" s="261"/>
      <c r="V487" s="261"/>
      <c r="W487" s="261">
        <v>0</v>
      </c>
      <c r="X487" s="261"/>
      <c r="Y487" s="261"/>
      <c r="Z487" s="261"/>
      <c r="AA487" s="261"/>
      <c r="AB487" s="261"/>
      <c r="AC487" s="261"/>
      <c r="AD487" s="261"/>
      <c r="AE487" s="261"/>
      <c r="AF487" s="261">
        <f t="shared" si="530"/>
        <v>0</v>
      </c>
      <c r="AG487" s="261">
        <f t="shared" si="531"/>
        <v>0</v>
      </c>
      <c r="AI487" s="176" t="e">
        <f t="shared" si="536"/>
        <v>#DIV/0!</v>
      </c>
      <c r="AJ487" s="176" t="e">
        <f t="shared" si="537"/>
        <v>#DIV/0!</v>
      </c>
      <c r="AK487" s="176" t="e">
        <f t="shared" si="538"/>
        <v>#DIV/0!</v>
      </c>
      <c r="AL487" s="176" t="e">
        <f t="shared" si="539"/>
        <v>#DIV/0!</v>
      </c>
      <c r="AM487" s="176" t="e">
        <f t="shared" si="540"/>
        <v>#DIV/0!</v>
      </c>
      <c r="AN487" s="176" t="e">
        <f t="shared" si="541"/>
        <v>#DIV/0!</v>
      </c>
      <c r="AO487" s="176" t="e">
        <f t="shared" si="542"/>
        <v>#DIV/0!</v>
      </c>
      <c r="AP487" s="176" t="e">
        <f t="shared" si="543"/>
        <v>#DIV/0!</v>
      </c>
      <c r="AQ487" s="176" t="e">
        <f t="shared" si="544"/>
        <v>#DIV/0!</v>
      </c>
      <c r="AR487" s="176" t="e">
        <f t="shared" si="545"/>
        <v>#DIV/0!</v>
      </c>
      <c r="AS487" s="176" t="e">
        <f t="shared" si="546"/>
        <v>#DIV/0!</v>
      </c>
      <c r="AT487" s="176" t="e">
        <f t="shared" si="547"/>
        <v>#DIV/0!</v>
      </c>
      <c r="AU487" s="176" t="e">
        <f t="shared" si="548"/>
        <v>#DIV/0!</v>
      </c>
      <c r="AV487" s="176" t="e">
        <f t="shared" si="549"/>
        <v>#DIV/0!</v>
      </c>
    </row>
    <row r="488" spans="1:48" x14ac:dyDescent="0.25">
      <c r="A488" s="185">
        <v>3050121</v>
      </c>
      <c r="B488" s="259" t="s">
        <v>1258</v>
      </c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>
        <f t="shared" si="525"/>
        <v>0</v>
      </c>
      <c r="P488" s="261"/>
      <c r="R488" s="185"/>
      <c r="S488" s="259"/>
      <c r="T488" s="261"/>
      <c r="U488" s="261"/>
      <c r="V488" s="261"/>
      <c r="W488" s="261">
        <v>0</v>
      </c>
      <c r="X488" s="261"/>
      <c r="Y488" s="261"/>
      <c r="Z488" s="261"/>
      <c r="AA488" s="261"/>
      <c r="AB488" s="261"/>
      <c r="AC488" s="261"/>
      <c r="AD488" s="261"/>
      <c r="AE488" s="261"/>
      <c r="AF488" s="261">
        <f t="shared" si="530"/>
        <v>0</v>
      </c>
      <c r="AG488" s="261">
        <f t="shared" si="531"/>
        <v>0</v>
      </c>
      <c r="AI488" s="176" t="e">
        <f t="shared" si="536"/>
        <v>#DIV/0!</v>
      </c>
      <c r="AJ488" s="176" t="e">
        <f t="shared" si="537"/>
        <v>#DIV/0!</v>
      </c>
      <c r="AK488" s="176" t="e">
        <f t="shared" si="538"/>
        <v>#DIV/0!</v>
      </c>
      <c r="AL488" s="176" t="e">
        <f t="shared" si="539"/>
        <v>#DIV/0!</v>
      </c>
      <c r="AM488" s="176" t="e">
        <f t="shared" si="540"/>
        <v>#DIV/0!</v>
      </c>
      <c r="AN488" s="176" t="e">
        <f t="shared" si="541"/>
        <v>#DIV/0!</v>
      </c>
      <c r="AO488" s="176" t="e">
        <f t="shared" si="542"/>
        <v>#DIV/0!</v>
      </c>
      <c r="AP488" s="176" t="e">
        <f t="shared" si="543"/>
        <v>#DIV/0!</v>
      </c>
      <c r="AQ488" s="176" t="e">
        <f t="shared" si="544"/>
        <v>#DIV/0!</v>
      </c>
      <c r="AR488" s="176" t="e">
        <f t="shared" si="545"/>
        <v>#DIV/0!</v>
      </c>
      <c r="AS488" s="176" t="e">
        <f t="shared" si="546"/>
        <v>#DIV/0!</v>
      </c>
      <c r="AT488" s="176" t="e">
        <f t="shared" si="547"/>
        <v>#DIV/0!</v>
      </c>
      <c r="AU488" s="176" t="e">
        <f t="shared" si="548"/>
        <v>#DIV/0!</v>
      </c>
      <c r="AV488" s="176" t="e">
        <f t="shared" si="549"/>
        <v>#DIV/0!</v>
      </c>
    </row>
    <row r="489" spans="1:48" x14ac:dyDescent="0.25">
      <c r="A489" s="185">
        <v>3050122</v>
      </c>
      <c r="B489" s="259" t="s">
        <v>1259</v>
      </c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>
        <f t="shared" si="525"/>
        <v>0</v>
      </c>
      <c r="P489" s="261"/>
      <c r="R489" s="185"/>
      <c r="S489" s="259"/>
      <c r="T489" s="261"/>
      <c r="U489" s="261"/>
      <c r="V489" s="261"/>
      <c r="W489" s="261">
        <v>0</v>
      </c>
      <c r="X489" s="261"/>
      <c r="Y489" s="261"/>
      <c r="Z489" s="261"/>
      <c r="AA489" s="261"/>
      <c r="AB489" s="261"/>
      <c r="AC489" s="261"/>
      <c r="AD489" s="261"/>
      <c r="AE489" s="261"/>
      <c r="AF489" s="261">
        <f t="shared" si="530"/>
        <v>0</v>
      </c>
      <c r="AG489" s="261">
        <f t="shared" si="531"/>
        <v>0</v>
      </c>
      <c r="AI489" s="176" t="e">
        <f t="shared" si="536"/>
        <v>#DIV/0!</v>
      </c>
      <c r="AJ489" s="176" t="e">
        <f t="shared" si="537"/>
        <v>#DIV/0!</v>
      </c>
      <c r="AK489" s="176" t="e">
        <f t="shared" si="538"/>
        <v>#DIV/0!</v>
      </c>
      <c r="AL489" s="176" t="e">
        <f t="shared" si="539"/>
        <v>#DIV/0!</v>
      </c>
      <c r="AM489" s="176" t="e">
        <f t="shared" si="540"/>
        <v>#DIV/0!</v>
      </c>
      <c r="AN489" s="176" t="e">
        <f t="shared" si="541"/>
        <v>#DIV/0!</v>
      </c>
      <c r="AO489" s="176" t="e">
        <f t="shared" si="542"/>
        <v>#DIV/0!</v>
      </c>
      <c r="AP489" s="176" t="e">
        <f t="shared" si="543"/>
        <v>#DIV/0!</v>
      </c>
      <c r="AQ489" s="176" t="e">
        <f t="shared" si="544"/>
        <v>#DIV/0!</v>
      </c>
      <c r="AR489" s="176" t="e">
        <f t="shared" si="545"/>
        <v>#DIV/0!</v>
      </c>
      <c r="AS489" s="176" t="e">
        <f t="shared" si="546"/>
        <v>#DIV/0!</v>
      </c>
      <c r="AT489" s="176" t="e">
        <f t="shared" si="547"/>
        <v>#DIV/0!</v>
      </c>
      <c r="AU489" s="176" t="e">
        <f t="shared" si="548"/>
        <v>#DIV/0!</v>
      </c>
      <c r="AV489" s="176" t="e">
        <f t="shared" si="549"/>
        <v>#DIV/0!</v>
      </c>
    </row>
    <row r="490" spans="1:48" x14ac:dyDescent="0.25">
      <c r="A490" s="185">
        <v>3050123</v>
      </c>
      <c r="B490" s="259" t="s">
        <v>1260</v>
      </c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>
        <f t="shared" si="525"/>
        <v>0</v>
      </c>
      <c r="P490" s="261"/>
      <c r="R490" s="185"/>
      <c r="S490" s="259"/>
      <c r="T490" s="261"/>
      <c r="U490" s="261"/>
      <c r="V490" s="261"/>
      <c r="W490" s="261">
        <v>0</v>
      </c>
      <c r="X490" s="261"/>
      <c r="Y490" s="261"/>
      <c r="Z490" s="261"/>
      <c r="AA490" s="261"/>
      <c r="AB490" s="261"/>
      <c r="AC490" s="261"/>
      <c r="AD490" s="261"/>
      <c r="AE490" s="261"/>
      <c r="AF490" s="261">
        <f t="shared" si="530"/>
        <v>0</v>
      </c>
      <c r="AG490" s="261">
        <f t="shared" si="531"/>
        <v>0</v>
      </c>
      <c r="AI490" s="176" t="e">
        <f t="shared" si="536"/>
        <v>#DIV/0!</v>
      </c>
      <c r="AJ490" s="176" t="e">
        <f t="shared" si="537"/>
        <v>#DIV/0!</v>
      </c>
      <c r="AK490" s="176" t="e">
        <f t="shared" si="538"/>
        <v>#DIV/0!</v>
      </c>
      <c r="AL490" s="176" t="e">
        <f t="shared" si="539"/>
        <v>#DIV/0!</v>
      </c>
      <c r="AM490" s="176" t="e">
        <f t="shared" si="540"/>
        <v>#DIV/0!</v>
      </c>
      <c r="AN490" s="176" t="e">
        <f t="shared" si="541"/>
        <v>#DIV/0!</v>
      </c>
      <c r="AO490" s="176" t="e">
        <f t="shared" si="542"/>
        <v>#DIV/0!</v>
      </c>
      <c r="AP490" s="176" t="e">
        <f t="shared" si="543"/>
        <v>#DIV/0!</v>
      </c>
      <c r="AQ490" s="176" t="e">
        <f t="shared" si="544"/>
        <v>#DIV/0!</v>
      </c>
      <c r="AR490" s="176" t="e">
        <f t="shared" si="545"/>
        <v>#DIV/0!</v>
      </c>
      <c r="AS490" s="176" t="e">
        <f t="shared" si="546"/>
        <v>#DIV/0!</v>
      </c>
      <c r="AT490" s="176" t="e">
        <f t="shared" si="547"/>
        <v>#DIV/0!</v>
      </c>
      <c r="AU490" s="176" t="e">
        <f t="shared" si="548"/>
        <v>#DIV/0!</v>
      </c>
      <c r="AV490" s="176" t="e">
        <f t="shared" si="549"/>
        <v>#DIV/0!</v>
      </c>
    </row>
    <row r="491" spans="1:48" x14ac:dyDescent="0.25">
      <c r="A491" s="185">
        <v>3050124</v>
      </c>
      <c r="B491" s="259" t="s">
        <v>1261</v>
      </c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>
        <f t="shared" si="525"/>
        <v>0</v>
      </c>
      <c r="P491" s="261"/>
      <c r="R491" s="185"/>
      <c r="S491" s="259"/>
      <c r="T491" s="261"/>
      <c r="U491" s="261"/>
      <c r="V491" s="261"/>
      <c r="W491" s="261">
        <v>0</v>
      </c>
      <c r="X491" s="261"/>
      <c r="Y491" s="261"/>
      <c r="Z491" s="261"/>
      <c r="AA491" s="261"/>
      <c r="AB491" s="261"/>
      <c r="AC491" s="261"/>
      <c r="AD491" s="261"/>
      <c r="AE491" s="261"/>
      <c r="AF491" s="261">
        <f t="shared" si="530"/>
        <v>0</v>
      </c>
      <c r="AG491" s="261">
        <f t="shared" si="531"/>
        <v>0</v>
      </c>
      <c r="AI491" s="176" t="e">
        <f t="shared" si="536"/>
        <v>#DIV/0!</v>
      </c>
      <c r="AJ491" s="176" t="e">
        <f t="shared" si="537"/>
        <v>#DIV/0!</v>
      </c>
      <c r="AK491" s="176" t="e">
        <f t="shared" si="538"/>
        <v>#DIV/0!</v>
      </c>
      <c r="AL491" s="176" t="e">
        <f t="shared" si="539"/>
        <v>#DIV/0!</v>
      </c>
      <c r="AM491" s="176" t="e">
        <f t="shared" si="540"/>
        <v>#DIV/0!</v>
      </c>
      <c r="AN491" s="176" t="e">
        <f t="shared" si="541"/>
        <v>#DIV/0!</v>
      </c>
      <c r="AO491" s="176" t="e">
        <f t="shared" si="542"/>
        <v>#DIV/0!</v>
      </c>
      <c r="AP491" s="176" t="e">
        <f t="shared" si="543"/>
        <v>#DIV/0!</v>
      </c>
      <c r="AQ491" s="176" t="e">
        <f t="shared" si="544"/>
        <v>#DIV/0!</v>
      </c>
      <c r="AR491" s="176" t="e">
        <f t="shared" si="545"/>
        <v>#DIV/0!</v>
      </c>
      <c r="AS491" s="176" t="e">
        <f t="shared" si="546"/>
        <v>#DIV/0!</v>
      </c>
      <c r="AT491" s="176" t="e">
        <f t="shared" si="547"/>
        <v>#DIV/0!</v>
      </c>
      <c r="AU491" s="176" t="e">
        <f t="shared" si="548"/>
        <v>#DIV/0!</v>
      </c>
      <c r="AV491" s="176" t="e">
        <f t="shared" si="549"/>
        <v>#DIV/0!</v>
      </c>
    </row>
    <row r="492" spans="1:48" x14ac:dyDescent="0.25">
      <c r="A492" s="185">
        <v>3050125</v>
      </c>
      <c r="B492" s="259" t="s">
        <v>1262</v>
      </c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>
        <f t="shared" si="525"/>
        <v>0</v>
      </c>
      <c r="P492" s="261"/>
      <c r="R492" s="185"/>
      <c r="S492" s="259"/>
      <c r="T492" s="261"/>
      <c r="U492" s="261"/>
      <c r="V492" s="261"/>
      <c r="W492" s="261">
        <v>0</v>
      </c>
      <c r="X492" s="261"/>
      <c r="Y492" s="261"/>
      <c r="Z492" s="261"/>
      <c r="AA492" s="261"/>
      <c r="AB492" s="261"/>
      <c r="AC492" s="261"/>
      <c r="AD492" s="261"/>
      <c r="AE492" s="261"/>
      <c r="AF492" s="261">
        <f t="shared" ref="AF492:AF523" si="551">+T492+U492+V492+W492</f>
        <v>0</v>
      </c>
      <c r="AG492" s="261">
        <f t="shared" ref="AG492:AG523" si="552">+T492+U492+V492+W492</f>
        <v>0</v>
      </c>
      <c r="AI492" s="176" t="e">
        <f t="shared" si="536"/>
        <v>#DIV/0!</v>
      </c>
      <c r="AJ492" s="176" t="e">
        <f t="shared" si="537"/>
        <v>#DIV/0!</v>
      </c>
      <c r="AK492" s="176" t="e">
        <f t="shared" si="538"/>
        <v>#DIV/0!</v>
      </c>
      <c r="AL492" s="176" t="e">
        <f t="shared" si="539"/>
        <v>#DIV/0!</v>
      </c>
      <c r="AM492" s="176" t="e">
        <f t="shared" si="540"/>
        <v>#DIV/0!</v>
      </c>
      <c r="AN492" s="176" t="e">
        <f t="shared" si="541"/>
        <v>#DIV/0!</v>
      </c>
      <c r="AO492" s="176" t="e">
        <f t="shared" si="542"/>
        <v>#DIV/0!</v>
      </c>
      <c r="AP492" s="176" t="e">
        <f t="shared" si="543"/>
        <v>#DIV/0!</v>
      </c>
      <c r="AQ492" s="176" t="e">
        <f t="shared" si="544"/>
        <v>#DIV/0!</v>
      </c>
      <c r="AR492" s="176" t="e">
        <f t="shared" si="545"/>
        <v>#DIV/0!</v>
      </c>
      <c r="AS492" s="176" t="e">
        <f t="shared" si="546"/>
        <v>#DIV/0!</v>
      </c>
      <c r="AT492" s="176" t="e">
        <f t="shared" si="547"/>
        <v>#DIV/0!</v>
      </c>
      <c r="AU492" s="176" t="e">
        <f t="shared" si="548"/>
        <v>#DIV/0!</v>
      </c>
      <c r="AV492" s="176" t="e">
        <f t="shared" si="549"/>
        <v>#DIV/0!</v>
      </c>
    </row>
    <row r="493" spans="1:48" x14ac:dyDescent="0.25">
      <c r="A493" s="185">
        <v>3050126</v>
      </c>
      <c r="B493" s="259" t="s">
        <v>1263</v>
      </c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>
        <f t="shared" si="525"/>
        <v>0</v>
      </c>
      <c r="P493" s="261"/>
      <c r="R493" s="185"/>
      <c r="S493" s="259"/>
      <c r="T493" s="261"/>
      <c r="U493" s="261"/>
      <c r="V493" s="261"/>
      <c r="W493" s="261">
        <v>0</v>
      </c>
      <c r="X493" s="261"/>
      <c r="Y493" s="261"/>
      <c r="Z493" s="261"/>
      <c r="AA493" s="261"/>
      <c r="AB493" s="261"/>
      <c r="AC493" s="261"/>
      <c r="AD493" s="261"/>
      <c r="AE493" s="261"/>
      <c r="AF493" s="261">
        <f t="shared" si="551"/>
        <v>0</v>
      </c>
      <c r="AG493" s="261">
        <f t="shared" si="552"/>
        <v>0</v>
      </c>
      <c r="AI493" s="176" t="e">
        <f t="shared" si="536"/>
        <v>#DIV/0!</v>
      </c>
      <c r="AJ493" s="176" t="e">
        <f t="shared" si="537"/>
        <v>#DIV/0!</v>
      </c>
      <c r="AK493" s="176" t="e">
        <f t="shared" si="538"/>
        <v>#DIV/0!</v>
      </c>
      <c r="AL493" s="176" t="e">
        <f t="shared" si="539"/>
        <v>#DIV/0!</v>
      </c>
      <c r="AM493" s="176" t="e">
        <f t="shared" si="540"/>
        <v>#DIV/0!</v>
      </c>
      <c r="AN493" s="176" t="e">
        <f t="shared" si="541"/>
        <v>#DIV/0!</v>
      </c>
      <c r="AO493" s="176" t="e">
        <f t="shared" si="542"/>
        <v>#DIV/0!</v>
      </c>
      <c r="AP493" s="176" t="e">
        <f t="shared" si="543"/>
        <v>#DIV/0!</v>
      </c>
      <c r="AQ493" s="176" t="e">
        <f t="shared" si="544"/>
        <v>#DIV/0!</v>
      </c>
      <c r="AR493" s="176" t="e">
        <f t="shared" si="545"/>
        <v>#DIV/0!</v>
      </c>
      <c r="AS493" s="176" t="e">
        <f t="shared" si="546"/>
        <v>#DIV/0!</v>
      </c>
      <c r="AT493" s="176" t="e">
        <f t="shared" si="547"/>
        <v>#DIV/0!</v>
      </c>
      <c r="AU493" s="176" t="e">
        <f t="shared" si="548"/>
        <v>#DIV/0!</v>
      </c>
      <c r="AV493" s="176" t="e">
        <f t="shared" si="549"/>
        <v>#DIV/0!</v>
      </c>
    </row>
    <row r="494" spans="1:48" x14ac:dyDescent="0.25">
      <c r="A494" s="185">
        <v>3050127</v>
      </c>
      <c r="B494" s="259" t="s">
        <v>1264</v>
      </c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>
        <f t="shared" si="525"/>
        <v>0</v>
      </c>
      <c r="P494" s="261"/>
      <c r="R494" s="185"/>
      <c r="S494" s="259"/>
      <c r="T494" s="261"/>
      <c r="U494" s="261"/>
      <c r="V494" s="261"/>
      <c r="W494" s="261">
        <v>0</v>
      </c>
      <c r="X494" s="261"/>
      <c r="Y494" s="261"/>
      <c r="Z494" s="261"/>
      <c r="AA494" s="261"/>
      <c r="AB494" s="261"/>
      <c r="AC494" s="261"/>
      <c r="AD494" s="261"/>
      <c r="AE494" s="261"/>
      <c r="AF494" s="261">
        <f t="shared" si="551"/>
        <v>0</v>
      </c>
      <c r="AG494" s="261">
        <f t="shared" si="552"/>
        <v>0</v>
      </c>
      <c r="AI494" s="176" t="e">
        <f t="shared" si="536"/>
        <v>#DIV/0!</v>
      </c>
      <c r="AJ494" s="176" t="e">
        <f t="shared" si="537"/>
        <v>#DIV/0!</v>
      </c>
      <c r="AK494" s="176" t="e">
        <f t="shared" si="538"/>
        <v>#DIV/0!</v>
      </c>
      <c r="AL494" s="176" t="e">
        <f t="shared" si="539"/>
        <v>#DIV/0!</v>
      </c>
      <c r="AM494" s="176" t="e">
        <f t="shared" si="540"/>
        <v>#DIV/0!</v>
      </c>
      <c r="AN494" s="176" t="e">
        <f t="shared" si="541"/>
        <v>#DIV/0!</v>
      </c>
      <c r="AO494" s="176" t="e">
        <f t="shared" si="542"/>
        <v>#DIV/0!</v>
      </c>
      <c r="AP494" s="176" t="e">
        <f t="shared" si="543"/>
        <v>#DIV/0!</v>
      </c>
      <c r="AQ494" s="176" t="e">
        <f t="shared" si="544"/>
        <v>#DIV/0!</v>
      </c>
      <c r="AR494" s="176" t="e">
        <f t="shared" si="545"/>
        <v>#DIV/0!</v>
      </c>
      <c r="AS494" s="176" t="e">
        <f t="shared" si="546"/>
        <v>#DIV/0!</v>
      </c>
      <c r="AT494" s="176" t="e">
        <f t="shared" si="547"/>
        <v>#DIV/0!</v>
      </c>
      <c r="AU494" s="176" t="e">
        <f t="shared" si="548"/>
        <v>#DIV/0!</v>
      </c>
      <c r="AV494" s="176" t="e">
        <f t="shared" si="549"/>
        <v>#DIV/0!</v>
      </c>
    </row>
    <row r="495" spans="1:48" x14ac:dyDescent="0.25">
      <c r="A495" s="185">
        <v>3050128</v>
      </c>
      <c r="B495" s="259" t="s">
        <v>1265</v>
      </c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>
        <f t="shared" si="525"/>
        <v>0</v>
      </c>
      <c r="P495" s="261"/>
      <c r="R495" s="185"/>
      <c r="S495" s="259"/>
      <c r="T495" s="261"/>
      <c r="U495" s="261"/>
      <c r="V495" s="261"/>
      <c r="W495" s="261">
        <v>0</v>
      </c>
      <c r="X495" s="261"/>
      <c r="Y495" s="261"/>
      <c r="Z495" s="261"/>
      <c r="AA495" s="261"/>
      <c r="AB495" s="261"/>
      <c r="AC495" s="261"/>
      <c r="AD495" s="261"/>
      <c r="AE495" s="261"/>
      <c r="AF495" s="261">
        <f t="shared" si="551"/>
        <v>0</v>
      </c>
      <c r="AG495" s="261">
        <f t="shared" si="552"/>
        <v>0</v>
      </c>
      <c r="AI495" s="176" t="e">
        <f t="shared" si="536"/>
        <v>#DIV/0!</v>
      </c>
      <c r="AJ495" s="176" t="e">
        <f t="shared" si="537"/>
        <v>#DIV/0!</v>
      </c>
      <c r="AK495" s="176" t="e">
        <f t="shared" si="538"/>
        <v>#DIV/0!</v>
      </c>
      <c r="AL495" s="176" t="e">
        <f t="shared" si="539"/>
        <v>#DIV/0!</v>
      </c>
      <c r="AM495" s="176" t="e">
        <f t="shared" si="540"/>
        <v>#DIV/0!</v>
      </c>
      <c r="AN495" s="176" t="e">
        <f t="shared" si="541"/>
        <v>#DIV/0!</v>
      </c>
      <c r="AO495" s="176" t="e">
        <f t="shared" si="542"/>
        <v>#DIV/0!</v>
      </c>
      <c r="AP495" s="176" t="e">
        <f t="shared" si="543"/>
        <v>#DIV/0!</v>
      </c>
      <c r="AQ495" s="176" t="e">
        <f t="shared" si="544"/>
        <v>#DIV/0!</v>
      </c>
      <c r="AR495" s="176" t="e">
        <f t="shared" si="545"/>
        <v>#DIV/0!</v>
      </c>
      <c r="AS495" s="176" t="e">
        <f t="shared" si="546"/>
        <v>#DIV/0!</v>
      </c>
      <c r="AT495" s="176" t="e">
        <f t="shared" si="547"/>
        <v>#DIV/0!</v>
      </c>
      <c r="AU495" s="176" t="e">
        <f t="shared" si="548"/>
        <v>#DIV/0!</v>
      </c>
      <c r="AV495" s="176" t="e">
        <f t="shared" si="549"/>
        <v>#DIV/0!</v>
      </c>
    </row>
    <row r="496" spans="1:48" x14ac:dyDescent="0.25">
      <c r="A496" s="185">
        <v>3050129</v>
      </c>
      <c r="B496" s="259" t="s">
        <v>1266</v>
      </c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>
        <f t="shared" si="525"/>
        <v>0</v>
      </c>
      <c r="P496" s="261"/>
      <c r="R496" s="185"/>
      <c r="S496" s="259"/>
      <c r="T496" s="261"/>
      <c r="U496" s="261"/>
      <c r="V496" s="261"/>
      <c r="W496" s="261">
        <v>0</v>
      </c>
      <c r="X496" s="261"/>
      <c r="Y496" s="261"/>
      <c r="Z496" s="261"/>
      <c r="AA496" s="261"/>
      <c r="AB496" s="261"/>
      <c r="AC496" s="261"/>
      <c r="AD496" s="261"/>
      <c r="AE496" s="261"/>
      <c r="AF496" s="261">
        <f t="shared" si="551"/>
        <v>0</v>
      </c>
      <c r="AG496" s="261">
        <f t="shared" si="552"/>
        <v>0</v>
      </c>
      <c r="AI496" s="176" t="e">
        <f t="shared" si="536"/>
        <v>#DIV/0!</v>
      </c>
      <c r="AJ496" s="176" t="e">
        <f t="shared" si="537"/>
        <v>#DIV/0!</v>
      </c>
      <c r="AK496" s="176" t="e">
        <f t="shared" si="538"/>
        <v>#DIV/0!</v>
      </c>
      <c r="AL496" s="176" t="e">
        <f t="shared" si="539"/>
        <v>#DIV/0!</v>
      </c>
      <c r="AM496" s="176" t="e">
        <f t="shared" si="540"/>
        <v>#DIV/0!</v>
      </c>
      <c r="AN496" s="176" t="e">
        <f t="shared" si="541"/>
        <v>#DIV/0!</v>
      </c>
      <c r="AO496" s="176" t="e">
        <f t="shared" si="542"/>
        <v>#DIV/0!</v>
      </c>
      <c r="AP496" s="176" t="e">
        <f t="shared" si="543"/>
        <v>#DIV/0!</v>
      </c>
      <c r="AQ496" s="176" t="e">
        <f t="shared" si="544"/>
        <v>#DIV/0!</v>
      </c>
      <c r="AR496" s="176" t="e">
        <f t="shared" si="545"/>
        <v>#DIV/0!</v>
      </c>
      <c r="AS496" s="176" t="e">
        <f t="shared" si="546"/>
        <v>#DIV/0!</v>
      </c>
      <c r="AT496" s="176" t="e">
        <f t="shared" si="547"/>
        <v>#DIV/0!</v>
      </c>
      <c r="AU496" s="176" t="e">
        <f t="shared" si="548"/>
        <v>#DIV/0!</v>
      </c>
      <c r="AV496" s="176" t="e">
        <f t="shared" si="549"/>
        <v>#DIV/0!</v>
      </c>
    </row>
    <row r="497" spans="1:49" x14ac:dyDescent="0.25">
      <c r="A497" s="185">
        <v>3050130</v>
      </c>
      <c r="B497" s="259" t="s">
        <v>1267</v>
      </c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>
        <f t="shared" si="525"/>
        <v>0</v>
      </c>
      <c r="P497" s="261"/>
      <c r="R497" s="185"/>
      <c r="S497" s="259"/>
      <c r="T497" s="261"/>
      <c r="U497" s="261"/>
      <c r="V497" s="261"/>
      <c r="W497" s="261">
        <v>0</v>
      </c>
      <c r="X497" s="261"/>
      <c r="Y497" s="261"/>
      <c r="Z497" s="261"/>
      <c r="AA497" s="261"/>
      <c r="AB497" s="261"/>
      <c r="AC497" s="261"/>
      <c r="AD497" s="261"/>
      <c r="AE497" s="261"/>
      <c r="AF497" s="261">
        <f t="shared" si="551"/>
        <v>0</v>
      </c>
      <c r="AG497" s="261">
        <f t="shared" si="552"/>
        <v>0</v>
      </c>
      <c r="AI497" s="176" t="e">
        <f t="shared" si="536"/>
        <v>#DIV/0!</v>
      </c>
      <c r="AJ497" s="176" t="e">
        <f t="shared" si="537"/>
        <v>#DIV/0!</v>
      </c>
      <c r="AK497" s="176" t="e">
        <f t="shared" si="538"/>
        <v>#DIV/0!</v>
      </c>
      <c r="AL497" s="176" t="e">
        <f t="shared" si="539"/>
        <v>#DIV/0!</v>
      </c>
      <c r="AM497" s="176" t="e">
        <f t="shared" si="540"/>
        <v>#DIV/0!</v>
      </c>
      <c r="AN497" s="176" t="e">
        <f t="shared" si="541"/>
        <v>#DIV/0!</v>
      </c>
      <c r="AO497" s="176" t="e">
        <f t="shared" si="542"/>
        <v>#DIV/0!</v>
      </c>
      <c r="AP497" s="176" t="e">
        <f t="shared" si="543"/>
        <v>#DIV/0!</v>
      </c>
      <c r="AQ497" s="176" t="e">
        <f t="shared" si="544"/>
        <v>#DIV/0!</v>
      </c>
      <c r="AR497" s="176" t="e">
        <f t="shared" si="545"/>
        <v>#DIV/0!</v>
      </c>
      <c r="AS497" s="176" t="e">
        <f t="shared" si="546"/>
        <v>#DIV/0!</v>
      </c>
      <c r="AT497" s="176" t="e">
        <f t="shared" si="547"/>
        <v>#DIV/0!</v>
      </c>
      <c r="AU497" s="176" t="e">
        <f t="shared" si="548"/>
        <v>#DIV/0!</v>
      </c>
      <c r="AV497" s="176" t="e">
        <f t="shared" si="549"/>
        <v>#DIV/0!</v>
      </c>
    </row>
    <row r="498" spans="1:49" x14ac:dyDescent="0.25">
      <c r="A498" s="185">
        <v>3050131</v>
      </c>
      <c r="B498" s="259" t="s">
        <v>1268</v>
      </c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>
        <f t="shared" si="525"/>
        <v>0</v>
      </c>
      <c r="P498" s="261"/>
      <c r="R498" s="185"/>
      <c r="S498" s="259"/>
      <c r="T498" s="261"/>
      <c r="U498" s="261"/>
      <c r="V498" s="261"/>
      <c r="W498" s="261">
        <v>0</v>
      </c>
      <c r="X498" s="261"/>
      <c r="Y498" s="261"/>
      <c r="Z498" s="261"/>
      <c r="AA498" s="261"/>
      <c r="AB498" s="261"/>
      <c r="AC498" s="261"/>
      <c r="AD498" s="261"/>
      <c r="AE498" s="261"/>
      <c r="AF498" s="261">
        <f t="shared" si="551"/>
        <v>0</v>
      </c>
      <c r="AG498" s="261">
        <f t="shared" si="552"/>
        <v>0</v>
      </c>
      <c r="AI498" s="176" t="e">
        <f t="shared" si="536"/>
        <v>#DIV/0!</v>
      </c>
      <c r="AJ498" s="176" t="e">
        <f t="shared" si="537"/>
        <v>#DIV/0!</v>
      </c>
      <c r="AK498" s="176" t="e">
        <f t="shared" si="538"/>
        <v>#DIV/0!</v>
      </c>
      <c r="AL498" s="176" t="e">
        <f t="shared" si="539"/>
        <v>#DIV/0!</v>
      </c>
      <c r="AM498" s="176" t="e">
        <f t="shared" si="540"/>
        <v>#DIV/0!</v>
      </c>
      <c r="AN498" s="176" t="e">
        <f t="shared" si="541"/>
        <v>#DIV/0!</v>
      </c>
      <c r="AO498" s="176" t="e">
        <f t="shared" si="542"/>
        <v>#DIV/0!</v>
      </c>
      <c r="AP498" s="176" t="e">
        <f t="shared" si="543"/>
        <v>#DIV/0!</v>
      </c>
      <c r="AQ498" s="176" t="e">
        <f t="shared" si="544"/>
        <v>#DIV/0!</v>
      </c>
      <c r="AR498" s="176" t="e">
        <f t="shared" si="545"/>
        <v>#DIV/0!</v>
      </c>
      <c r="AS498" s="176" t="e">
        <f t="shared" si="546"/>
        <v>#DIV/0!</v>
      </c>
      <c r="AT498" s="176" t="e">
        <f t="shared" si="547"/>
        <v>#DIV/0!</v>
      </c>
      <c r="AU498" s="176" t="e">
        <f t="shared" si="548"/>
        <v>#DIV/0!</v>
      </c>
      <c r="AV498" s="176" t="e">
        <f t="shared" si="549"/>
        <v>#DIV/0!</v>
      </c>
    </row>
    <row r="499" spans="1:49" x14ac:dyDescent="0.25">
      <c r="A499" s="185">
        <v>3050132</v>
      </c>
      <c r="B499" s="259" t="s">
        <v>1269</v>
      </c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>
        <f t="shared" si="525"/>
        <v>0</v>
      </c>
      <c r="P499" s="261"/>
      <c r="R499" s="185"/>
      <c r="S499" s="259"/>
      <c r="T499" s="261"/>
      <c r="U499" s="261"/>
      <c r="V499" s="261"/>
      <c r="W499" s="261">
        <v>0</v>
      </c>
      <c r="X499" s="261"/>
      <c r="Y499" s="261"/>
      <c r="Z499" s="261"/>
      <c r="AA499" s="261"/>
      <c r="AB499" s="261"/>
      <c r="AC499" s="261"/>
      <c r="AD499" s="261"/>
      <c r="AE499" s="261"/>
      <c r="AF499" s="261">
        <f t="shared" si="551"/>
        <v>0</v>
      </c>
      <c r="AG499" s="261">
        <f t="shared" si="552"/>
        <v>0</v>
      </c>
      <c r="AI499" s="176" t="e">
        <f t="shared" si="536"/>
        <v>#DIV/0!</v>
      </c>
      <c r="AJ499" s="176" t="e">
        <f t="shared" si="537"/>
        <v>#DIV/0!</v>
      </c>
      <c r="AK499" s="176" t="e">
        <f t="shared" si="538"/>
        <v>#DIV/0!</v>
      </c>
      <c r="AL499" s="176" t="e">
        <f t="shared" si="539"/>
        <v>#DIV/0!</v>
      </c>
      <c r="AM499" s="176" t="e">
        <f t="shared" si="540"/>
        <v>#DIV/0!</v>
      </c>
      <c r="AN499" s="176" t="e">
        <f t="shared" si="541"/>
        <v>#DIV/0!</v>
      </c>
      <c r="AO499" s="176" t="e">
        <f t="shared" si="542"/>
        <v>#DIV/0!</v>
      </c>
      <c r="AP499" s="176" t="e">
        <f t="shared" si="543"/>
        <v>#DIV/0!</v>
      </c>
      <c r="AQ499" s="176" t="e">
        <f t="shared" si="544"/>
        <v>#DIV/0!</v>
      </c>
      <c r="AR499" s="176" t="e">
        <f t="shared" si="545"/>
        <v>#DIV/0!</v>
      </c>
      <c r="AS499" s="176" t="e">
        <f t="shared" si="546"/>
        <v>#DIV/0!</v>
      </c>
      <c r="AT499" s="176" t="e">
        <f t="shared" si="547"/>
        <v>#DIV/0!</v>
      </c>
      <c r="AU499" s="176" t="e">
        <f t="shared" si="548"/>
        <v>#DIV/0!</v>
      </c>
      <c r="AV499" s="176" t="e">
        <f t="shared" si="549"/>
        <v>#DIV/0!</v>
      </c>
    </row>
    <row r="500" spans="1:49" s="181" customFormat="1" x14ac:dyDescent="0.25">
      <c r="A500" s="185">
        <v>3050133</v>
      </c>
      <c r="B500" s="259" t="s">
        <v>1270</v>
      </c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>
        <f t="shared" si="525"/>
        <v>0</v>
      </c>
      <c r="P500" s="261"/>
      <c r="Q500" s="195"/>
      <c r="R500" s="185"/>
      <c r="S500" s="259"/>
      <c r="T500" s="261"/>
      <c r="U500" s="261"/>
      <c r="V500" s="261"/>
      <c r="W500" s="261">
        <v>0</v>
      </c>
      <c r="X500" s="261"/>
      <c r="Y500" s="261"/>
      <c r="Z500" s="261"/>
      <c r="AA500" s="261"/>
      <c r="AB500" s="261"/>
      <c r="AC500" s="261"/>
      <c r="AD500" s="261"/>
      <c r="AE500" s="261"/>
      <c r="AF500" s="261">
        <f t="shared" si="551"/>
        <v>0</v>
      </c>
      <c r="AG500" s="261">
        <f t="shared" si="552"/>
        <v>0</v>
      </c>
      <c r="AH500" s="195"/>
      <c r="AI500" s="176" t="e">
        <f t="shared" si="536"/>
        <v>#DIV/0!</v>
      </c>
      <c r="AJ500" s="176" t="e">
        <f t="shared" si="537"/>
        <v>#DIV/0!</v>
      </c>
      <c r="AK500" s="176" t="e">
        <f t="shared" si="538"/>
        <v>#DIV/0!</v>
      </c>
      <c r="AL500" s="176" t="e">
        <f t="shared" si="539"/>
        <v>#DIV/0!</v>
      </c>
      <c r="AM500" s="176" t="e">
        <f t="shared" si="540"/>
        <v>#DIV/0!</v>
      </c>
      <c r="AN500" s="176" t="e">
        <f t="shared" si="541"/>
        <v>#DIV/0!</v>
      </c>
      <c r="AO500" s="176" t="e">
        <f t="shared" si="542"/>
        <v>#DIV/0!</v>
      </c>
      <c r="AP500" s="176" t="e">
        <f t="shared" si="543"/>
        <v>#DIV/0!</v>
      </c>
      <c r="AQ500" s="176" t="e">
        <f t="shared" si="544"/>
        <v>#DIV/0!</v>
      </c>
      <c r="AR500" s="176" t="e">
        <f t="shared" si="545"/>
        <v>#DIV/0!</v>
      </c>
      <c r="AS500" s="176" t="e">
        <f t="shared" si="546"/>
        <v>#DIV/0!</v>
      </c>
      <c r="AT500" s="176" t="e">
        <f t="shared" si="547"/>
        <v>#DIV/0!</v>
      </c>
      <c r="AU500" s="176" t="e">
        <f t="shared" si="548"/>
        <v>#DIV/0!</v>
      </c>
      <c r="AV500" s="176" t="e">
        <f t="shared" si="549"/>
        <v>#DIV/0!</v>
      </c>
      <c r="AW500"/>
    </row>
    <row r="501" spans="1:49" s="181" customFormat="1" x14ac:dyDescent="0.25">
      <c r="A501" s="185">
        <v>3050134</v>
      </c>
      <c r="B501" s="259" t="s">
        <v>1271</v>
      </c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>
        <f t="shared" si="525"/>
        <v>0</v>
      </c>
      <c r="P501" s="261"/>
      <c r="Q501" s="195"/>
      <c r="R501" s="185"/>
      <c r="S501" s="259"/>
      <c r="T501" s="261"/>
      <c r="U501" s="261"/>
      <c r="V501" s="261"/>
      <c r="W501" s="261">
        <v>0</v>
      </c>
      <c r="X501" s="261"/>
      <c r="Y501" s="261"/>
      <c r="Z501" s="261"/>
      <c r="AA501" s="261"/>
      <c r="AB501" s="261"/>
      <c r="AC501" s="261"/>
      <c r="AD501" s="261"/>
      <c r="AE501" s="261"/>
      <c r="AF501" s="261">
        <f t="shared" si="551"/>
        <v>0</v>
      </c>
      <c r="AG501" s="261">
        <f t="shared" si="552"/>
        <v>0</v>
      </c>
      <c r="AH501" s="195"/>
      <c r="AI501" s="176" t="e">
        <f t="shared" si="536"/>
        <v>#DIV/0!</v>
      </c>
      <c r="AJ501" s="176" t="e">
        <f t="shared" si="537"/>
        <v>#DIV/0!</v>
      </c>
      <c r="AK501" s="176" t="e">
        <f t="shared" si="538"/>
        <v>#DIV/0!</v>
      </c>
      <c r="AL501" s="176" t="e">
        <f t="shared" si="539"/>
        <v>#DIV/0!</v>
      </c>
      <c r="AM501" s="176" t="e">
        <f t="shared" si="540"/>
        <v>#DIV/0!</v>
      </c>
      <c r="AN501" s="176" t="e">
        <f t="shared" si="541"/>
        <v>#DIV/0!</v>
      </c>
      <c r="AO501" s="176" t="e">
        <f t="shared" si="542"/>
        <v>#DIV/0!</v>
      </c>
      <c r="AP501" s="176" t="e">
        <f t="shared" si="543"/>
        <v>#DIV/0!</v>
      </c>
      <c r="AQ501" s="176" t="e">
        <f t="shared" si="544"/>
        <v>#DIV/0!</v>
      </c>
      <c r="AR501" s="176" t="e">
        <f t="shared" si="545"/>
        <v>#DIV/0!</v>
      </c>
      <c r="AS501" s="176" t="e">
        <f t="shared" si="546"/>
        <v>#DIV/0!</v>
      </c>
      <c r="AT501" s="176" t="e">
        <f t="shared" si="547"/>
        <v>#DIV/0!</v>
      </c>
      <c r="AU501" s="176" t="e">
        <f t="shared" si="548"/>
        <v>#DIV/0!</v>
      </c>
      <c r="AV501" s="176" t="e">
        <f t="shared" si="549"/>
        <v>#DIV/0!</v>
      </c>
      <c r="AW501"/>
    </row>
    <row r="502" spans="1:49" s="181" customFormat="1" x14ac:dyDescent="0.25">
      <c r="A502" s="185">
        <v>3050135</v>
      </c>
      <c r="B502" s="259" t="s">
        <v>1272</v>
      </c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>
        <f t="shared" si="525"/>
        <v>0</v>
      </c>
      <c r="P502" s="261"/>
      <c r="Q502" s="195"/>
      <c r="R502" s="185"/>
      <c r="S502" s="259"/>
      <c r="T502" s="261"/>
      <c r="U502" s="261"/>
      <c r="V502" s="261"/>
      <c r="W502" s="261">
        <v>0</v>
      </c>
      <c r="X502" s="261"/>
      <c r="Y502" s="261"/>
      <c r="Z502" s="261"/>
      <c r="AA502" s="261"/>
      <c r="AB502" s="261"/>
      <c r="AC502" s="261"/>
      <c r="AD502" s="261"/>
      <c r="AE502" s="261"/>
      <c r="AF502" s="261">
        <f t="shared" si="551"/>
        <v>0</v>
      </c>
      <c r="AG502" s="261">
        <f t="shared" si="552"/>
        <v>0</v>
      </c>
      <c r="AH502" s="195"/>
      <c r="AI502" s="176" t="e">
        <f t="shared" si="536"/>
        <v>#DIV/0!</v>
      </c>
      <c r="AJ502" s="176" t="e">
        <f t="shared" si="537"/>
        <v>#DIV/0!</v>
      </c>
      <c r="AK502" s="176" t="e">
        <f t="shared" si="538"/>
        <v>#DIV/0!</v>
      </c>
      <c r="AL502" s="176" t="e">
        <f t="shared" si="539"/>
        <v>#DIV/0!</v>
      </c>
      <c r="AM502" s="176" t="e">
        <f t="shared" si="540"/>
        <v>#DIV/0!</v>
      </c>
      <c r="AN502" s="176" t="e">
        <f t="shared" si="541"/>
        <v>#DIV/0!</v>
      </c>
      <c r="AO502" s="176" t="e">
        <f t="shared" si="542"/>
        <v>#DIV/0!</v>
      </c>
      <c r="AP502" s="176" t="e">
        <f t="shared" si="543"/>
        <v>#DIV/0!</v>
      </c>
      <c r="AQ502" s="176" t="e">
        <f t="shared" si="544"/>
        <v>#DIV/0!</v>
      </c>
      <c r="AR502" s="176" t="e">
        <f t="shared" si="545"/>
        <v>#DIV/0!</v>
      </c>
      <c r="AS502" s="176" t="e">
        <f t="shared" si="546"/>
        <v>#DIV/0!</v>
      </c>
      <c r="AT502" s="176" t="e">
        <f t="shared" si="547"/>
        <v>#DIV/0!</v>
      </c>
      <c r="AU502" s="176" t="e">
        <f t="shared" si="548"/>
        <v>#DIV/0!</v>
      </c>
      <c r="AV502" s="176" t="e">
        <f t="shared" si="549"/>
        <v>#DIV/0!</v>
      </c>
      <c r="AW502"/>
    </row>
    <row r="503" spans="1:49" s="181" customFormat="1" x14ac:dyDescent="0.25">
      <c r="A503" s="185">
        <v>3050136</v>
      </c>
      <c r="B503" s="259" t="s">
        <v>1273</v>
      </c>
      <c r="C503" s="261"/>
      <c r="D503" s="261"/>
      <c r="E503" s="261"/>
      <c r="F503" s="261"/>
      <c r="G503" s="261"/>
      <c r="H503" s="261"/>
      <c r="I503" s="261"/>
      <c r="J503" s="261"/>
      <c r="K503" s="261"/>
      <c r="L503" s="261"/>
      <c r="M503" s="261"/>
      <c r="N503" s="261"/>
      <c r="O503" s="261">
        <f t="shared" si="525"/>
        <v>0</v>
      </c>
      <c r="P503" s="261"/>
      <c r="Q503" s="195"/>
      <c r="R503" s="185"/>
      <c r="S503" s="259"/>
      <c r="T503" s="261"/>
      <c r="U503" s="261"/>
      <c r="V503" s="261"/>
      <c r="W503" s="261">
        <v>0</v>
      </c>
      <c r="X503" s="261"/>
      <c r="Y503" s="261"/>
      <c r="Z503" s="261"/>
      <c r="AA503" s="261"/>
      <c r="AB503" s="261"/>
      <c r="AC503" s="261"/>
      <c r="AD503" s="261"/>
      <c r="AE503" s="261"/>
      <c r="AF503" s="261">
        <f t="shared" si="551"/>
        <v>0</v>
      </c>
      <c r="AG503" s="261">
        <f t="shared" si="552"/>
        <v>0</v>
      </c>
      <c r="AH503" s="195"/>
      <c r="AI503" s="176" t="e">
        <f t="shared" si="536"/>
        <v>#DIV/0!</v>
      </c>
      <c r="AJ503" s="176" t="e">
        <f t="shared" si="537"/>
        <v>#DIV/0!</v>
      </c>
      <c r="AK503" s="176" t="e">
        <f t="shared" si="538"/>
        <v>#DIV/0!</v>
      </c>
      <c r="AL503" s="176" t="e">
        <f t="shared" si="539"/>
        <v>#DIV/0!</v>
      </c>
      <c r="AM503" s="176" t="e">
        <f t="shared" si="540"/>
        <v>#DIV/0!</v>
      </c>
      <c r="AN503" s="176" t="e">
        <f t="shared" si="541"/>
        <v>#DIV/0!</v>
      </c>
      <c r="AO503" s="176" t="e">
        <f t="shared" si="542"/>
        <v>#DIV/0!</v>
      </c>
      <c r="AP503" s="176" t="e">
        <f t="shared" si="543"/>
        <v>#DIV/0!</v>
      </c>
      <c r="AQ503" s="176" t="e">
        <f t="shared" si="544"/>
        <v>#DIV/0!</v>
      </c>
      <c r="AR503" s="176" t="e">
        <f t="shared" si="545"/>
        <v>#DIV/0!</v>
      </c>
      <c r="AS503" s="176" t="e">
        <f t="shared" si="546"/>
        <v>#DIV/0!</v>
      </c>
      <c r="AT503" s="176" t="e">
        <f t="shared" si="547"/>
        <v>#DIV/0!</v>
      </c>
      <c r="AU503" s="176" t="e">
        <f t="shared" si="548"/>
        <v>#DIV/0!</v>
      </c>
      <c r="AV503" s="176" t="e">
        <f t="shared" si="549"/>
        <v>#DIV/0!</v>
      </c>
      <c r="AW503"/>
    </row>
    <row r="504" spans="1:49" s="181" customFormat="1" x14ac:dyDescent="0.25">
      <c r="A504" s="185">
        <v>3050137</v>
      </c>
      <c r="B504" s="259" t="s">
        <v>1274</v>
      </c>
      <c r="C504" s="261"/>
      <c r="D504" s="261"/>
      <c r="E504" s="261"/>
      <c r="F504" s="261"/>
      <c r="G504" s="261"/>
      <c r="H504" s="261"/>
      <c r="I504" s="261"/>
      <c r="J504" s="261"/>
      <c r="K504" s="261"/>
      <c r="L504" s="261"/>
      <c r="M504" s="261"/>
      <c r="N504" s="261"/>
      <c r="O504" s="261">
        <f t="shared" si="525"/>
        <v>0</v>
      </c>
      <c r="P504" s="261"/>
      <c r="Q504" s="195"/>
      <c r="R504" s="185"/>
      <c r="S504" s="259"/>
      <c r="T504" s="261"/>
      <c r="U504" s="261"/>
      <c r="V504" s="261"/>
      <c r="W504" s="261">
        <v>0</v>
      </c>
      <c r="X504" s="261"/>
      <c r="Y504" s="261"/>
      <c r="Z504" s="261"/>
      <c r="AA504" s="261"/>
      <c r="AB504" s="261"/>
      <c r="AC504" s="261"/>
      <c r="AD504" s="261"/>
      <c r="AE504" s="261"/>
      <c r="AF504" s="261">
        <f t="shared" si="551"/>
        <v>0</v>
      </c>
      <c r="AG504" s="261">
        <f t="shared" si="552"/>
        <v>0</v>
      </c>
      <c r="AH504" s="195"/>
      <c r="AI504" s="176" t="e">
        <f t="shared" si="536"/>
        <v>#DIV/0!</v>
      </c>
      <c r="AJ504" s="176" t="e">
        <f t="shared" si="537"/>
        <v>#DIV/0!</v>
      </c>
      <c r="AK504" s="176" t="e">
        <f t="shared" si="538"/>
        <v>#DIV/0!</v>
      </c>
      <c r="AL504" s="176" t="e">
        <f t="shared" si="539"/>
        <v>#DIV/0!</v>
      </c>
      <c r="AM504" s="176" t="e">
        <f t="shared" si="540"/>
        <v>#DIV/0!</v>
      </c>
      <c r="AN504" s="176" t="e">
        <f t="shared" si="541"/>
        <v>#DIV/0!</v>
      </c>
      <c r="AO504" s="176" t="e">
        <f t="shared" si="542"/>
        <v>#DIV/0!</v>
      </c>
      <c r="AP504" s="176" t="e">
        <f t="shared" si="543"/>
        <v>#DIV/0!</v>
      </c>
      <c r="AQ504" s="176" t="e">
        <f t="shared" si="544"/>
        <v>#DIV/0!</v>
      </c>
      <c r="AR504" s="176" t="e">
        <f t="shared" si="545"/>
        <v>#DIV/0!</v>
      </c>
      <c r="AS504" s="176" t="e">
        <f t="shared" si="546"/>
        <v>#DIV/0!</v>
      </c>
      <c r="AT504" s="176" t="e">
        <f t="shared" si="547"/>
        <v>#DIV/0!</v>
      </c>
      <c r="AU504" s="176" t="e">
        <f t="shared" si="548"/>
        <v>#DIV/0!</v>
      </c>
      <c r="AV504" s="176" t="e">
        <f t="shared" si="549"/>
        <v>#DIV/0!</v>
      </c>
      <c r="AW504"/>
    </row>
    <row r="505" spans="1:49" s="181" customFormat="1" x14ac:dyDescent="0.25">
      <c r="A505" s="185">
        <v>3050138</v>
      </c>
      <c r="B505" s="259" t="s">
        <v>1275</v>
      </c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>
        <f t="shared" si="525"/>
        <v>0</v>
      </c>
      <c r="P505" s="261"/>
      <c r="Q505" s="195"/>
      <c r="R505" s="185"/>
      <c r="S505" s="259"/>
      <c r="T505" s="261"/>
      <c r="U505" s="261"/>
      <c r="V505" s="261"/>
      <c r="W505" s="261">
        <v>0</v>
      </c>
      <c r="X505" s="261"/>
      <c r="Y505" s="261"/>
      <c r="Z505" s="261"/>
      <c r="AA505" s="261"/>
      <c r="AB505" s="261"/>
      <c r="AC505" s="261"/>
      <c r="AD505" s="261"/>
      <c r="AE505" s="261"/>
      <c r="AF505" s="261">
        <f t="shared" si="551"/>
        <v>0</v>
      </c>
      <c r="AG505" s="261">
        <f t="shared" si="552"/>
        <v>0</v>
      </c>
      <c r="AH505" s="195"/>
      <c r="AI505" s="176" t="e">
        <f t="shared" si="536"/>
        <v>#DIV/0!</v>
      </c>
      <c r="AJ505" s="176" t="e">
        <f t="shared" si="537"/>
        <v>#DIV/0!</v>
      </c>
      <c r="AK505" s="176" t="e">
        <f t="shared" si="538"/>
        <v>#DIV/0!</v>
      </c>
      <c r="AL505" s="176" t="e">
        <f t="shared" si="539"/>
        <v>#DIV/0!</v>
      </c>
      <c r="AM505" s="176" t="e">
        <f t="shared" si="540"/>
        <v>#DIV/0!</v>
      </c>
      <c r="AN505" s="176" t="e">
        <f t="shared" si="541"/>
        <v>#DIV/0!</v>
      </c>
      <c r="AO505" s="176" t="e">
        <f t="shared" si="542"/>
        <v>#DIV/0!</v>
      </c>
      <c r="AP505" s="176" t="e">
        <f t="shared" si="543"/>
        <v>#DIV/0!</v>
      </c>
      <c r="AQ505" s="176" t="e">
        <f t="shared" si="544"/>
        <v>#DIV/0!</v>
      </c>
      <c r="AR505" s="176" t="e">
        <f t="shared" si="545"/>
        <v>#DIV/0!</v>
      </c>
      <c r="AS505" s="176" t="e">
        <f t="shared" si="546"/>
        <v>#DIV/0!</v>
      </c>
      <c r="AT505" s="176" t="e">
        <f t="shared" si="547"/>
        <v>#DIV/0!</v>
      </c>
      <c r="AU505" s="176" t="e">
        <f t="shared" si="548"/>
        <v>#DIV/0!</v>
      </c>
      <c r="AV505" s="176" t="e">
        <f t="shared" si="549"/>
        <v>#DIV/0!</v>
      </c>
      <c r="AW505"/>
    </row>
    <row r="506" spans="1:49" s="181" customFormat="1" x14ac:dyDescent="0.25">
      <c r="A506" s="185">
        <v>3050139</v>
      </c>
      <c r="B506" s="259" t="s">
        <v>1276</v>
      </c>
      <c r="C506" s="261"/>
      <c r="D506" s="26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>
        <f t="shared" si="525"/>
        <v>0</v>
      </c>
      <c r="P506" s="261"/>
      <c r="Q506" s="195"/>
      <c r="R506" s="185"/>
      <c r="S506" s="259"/>
      <c r="T506" s="261"/>
      <c r="U506" s="261"/>
      <c r="V506" s="261"/>
      <c r="W506" s="261">
        <v>0</v>
      </c>
      <c r="X506" s="261"/>
      <c r="Y506" s="261"/>
      <c r="Z506" s="261"/>
      <c r="AA506" s="261"/>
      <c r="AB506" s="261"/>
      <c r="AC506" s="261"/>
      <c r="AD506" s="261"/>
      <c r="AE506" s="261"/>
      <c r="AF506" s="261">
        <f t="shared" si="551"/>
        <v>0</v>
      </c>
      <c r="AG506" s="261">
        <f t="shared" si="552"/>
        <v>0</v>
      </c>
      <c r="AH506" s="195"/>
      <c r="AI506" s="176" t="e">
        <f t="shared" si="536"/>
        <v>#DIV/0!</v>
      </c>
      <c r="AJ506" s="176" t="e">
        <f t="shared" si="537"/>
        <v>#DIV/0!</v>
      </c>
      <c r="AK506" s="176" t="e">
        <f t="shared" si="538"/>
        <v>#DIV/0!</v>
      </c>
      <c r="AL506" s="176" t="e">
        <f t="shared" si="539"/>
        <v>#DIV/0!</v>
      </c>
      <c r="AM506" s="176" t="e">
        <f t="shared" si="540"/>
        <v>#DIV/0!</v>
      </c>
      <c r="AN506" s="176" t="e">
        <f t="shared" si="541"/>
        <v>#DIV/0!</v>
      </c>
      <c r="AO506" s="176" t="e">
        <f t="shared" si="542"/>
        <v>#DIV/0!</v>
      </c>
      <c r="AP506" s="176" t="e">
        <f t="shared" si="543"/>
        <v>#DIV/0!</v>
      </c>
      <c r="AQ506" s="176" t="e">
        <f t="shared" si="544"/>
        <v>#DIV/0!</v>
      </c>
      <c r="AR506" s="176" t="e">
        <f t="shared" si="545"/>
        <v>#DIV/0!</v>
      </c>
      <c r="AS506" s="176" t="e">
        <f t="shared" si="546"/>
        <v>#DIV/0!</v>
      </c>
      <c r="AT506" s="176" t="e">
        <f t="shared" si="547"/>
        <v>#DIV/0!</v>
      </c>
      <c r="AU506" s="176" t="e">
        <f t="shared" si="548"/>
        <v>#DIV/0!</v>
      </c>
      <c r="AV506" s="176" t="e">
        <f t="shared" si="549"/>
        <v>#DIV/0!</v>
      </c>
      <c r="AW506"/>
    </row>
    <row r="507" spans="1:49" s="181" customFormat="1" x14ac:dyDescent="0.25">
      <c r="A507" s="185">
        <v>3050140</v>
      </c>
      <c r="B507" s="259" t="s">
        <v>1277</v>
      </c>
      <c r="C507" s="261"/>
      <c r="D507" s="261"/>
      <c r="E507" s="261"/>
      <c r="F507" s="261"/>
      <c r="G507" s="261"/>
      <c r="H507" s="261"/>
      <c r="I507" s="261"/>
      <c r="J507" s="261"/>
      <c r="K507" s="261"/>
      <c r="L507" s="261"/>
      <c r="M507" s="261"/>
      <c r="N507" s="261"/>
      <c r="O507" s="261">
        <f t="shared" si="525"/>
        <v>0</v>
      </c>
      <c r="P507" s="261"/>
      <c r="Q507" s="195"/>
      <c r="R507" s="185"/>
      <c r="S507" s="259"/>
      <c r="T507" s="261"/>
      <c r="U507" s="261"/>
      <c r="V507" s="261"/>
      <c r="W507" s="261">
        <v>0</v>
      </c>
      <c r="X507" s="261"/>
      <c r="Y507" s="261"/>
      <c r="Z507" s="261"/>
      <c r="AA507" s="261"/>
      <c r="AB507" s="261"/>
      <c r="AC507" s="261"/>
      <c r="AD507" s="261"/>
      <c r="AE507" s="261"/>
      <c r="AF507" s="261">
        <f t="shared" si="551"/>
        <v>0</v>
      </c>
      <c r="AG507" s="261">
        <f t="shared" si="552"/>
        <v>0</v>
      </c>
      <c r="AH507" s="195"/>
      <c r="AI507" s="176" t="e">
        <f t="shared" si="536"/>
        <v>#DIV/0!</v>
      </c>
      <c r="AJ507" s="176" t="e">
        <f t="shared" si="537"/>
        <v>#DIV/0!</v>
      </c>
      <c r="AK507" s="176" t="e">
        <f t="shared" si="538"/>
        <v>#DIV/0!</v>
      </c>
      <c r="AL507" s="176" t="e">
        <f t="shared" si="539"/>
        <v>#DIV/0!</v>
      </c>
      <c r="AM507" s="176" t="e">
        <f t="shared" si="540"/>
        <v>#DIV/0!</v>
      </c>
      <c r="AN507" s="176" t="e">
        <f t="shared" si="541"/>
        <v>#DIV/0!</v>
      </c>
      <c r="AO507" s="176" t="e">
        <f t="shared" si="542"/>
        <v>#DIV/0!</v>
      </c>
      <c r="AP507" s="176" t="e">
        <f t="shared" si="543"/>
        <v>#DIV/0!</v>
      </c>
      <c r="AQ507" s="176" t="e">
        <f t="shared" si="544"/>
        <v>#DIV/0!</v>
      </c>
      <c r="AR507" s="176" t="e">
        <f t="shared" si="545"/>
        <v>#DIV/0!</v>
      </c>
      <c r="AS507" s="176" t="e">
        <f t="shared" si="546"/>
        <v>#DIV/0!</v>
      </c>
      <c r="AT507" s="176" t="e">
        <f t="shared" si="547"/>
        <v>#DIV/0!</v>
      </c>
      <c r="AU507" s="176" t="e">
        <f t="shared" si="548"/>
        <v>#DIV/0!</v>
      </c>
      <c r="AV507" s="176" t="e">
        <f t="shared" si="549"/>
        <v>#DIV/0!</v>
      </c>
    </row>
    <row r="508" spans="1:49" s="181" customFormat="1" x14ac:dyDescent="0.25">
      <c r="A508" s="185">
        <v>3050141</v>
      </c>
      <c r="B508" s="259" t="s">
        <v>1278</v>
      </c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>
        <f t="shared" si="525"/>
        <v>0</v>
      </c>
      <c r="P508" s="261"/>
      <c r="Q508" s="195"/>
      <c r="R508" s="185"/>
      <c r="S508" s="259"/>
      <c r="T508" s="261"/>
      <c r="U508" s="261"/>
      <c r="V508" s="261"/>
      <c r="W508" s="261">
        <v>0</v>
      </c>
      <c r="X508" s="261"/>
      <c r="Y508" s="261"/>
      <c r="Z508" s="261"/>
      <c r="AA508" s="261"/>
      <c r="AB508" s="261"/>
      <c r="AC508" s="261"/>
      <c r="AD508" s="261"/>
      <c r="AE508" s="261"/>
      <c r="AF508" s="261">
        <f t="shared" si="551"/>
        <v>0</v>
      </c>
      <c r="AG508" s="261">
        <f t="shared" si="552"/>
        <v>0</v>
      </c>
      <c r="AH508" s="195"/>
      <c r="AI508" s="176" t="e">
        <f t="shared" si="536"/>
        <v>#DIV/0!</v>
      </c>
      <c r="AJ508" s="176" t="e">
        <f t="shared" si="537"/>
        <v>#DIV/0!</v>
      </c>
      <c r="AK508" s="176" t="e">
        <f t="shared" si="538"/>
        <v>#DIV/0!</v>
      </c>
      <c r="AL508" s="176" t="e">
        <f t="shared" si="539"/>
        <v>#DIV/0!</v>
      </c>
      <c r="AM508" s="176" t="e">
        <f t="shared" si="540"/>
        <v>#DIV/0!</v>
      </c>
      <c r="AN508" s="176" t="e">
        <f t="shared" si="541"/>
        <v>#DIV/0!</v>
      </c>
      <c r="AO508" s="176" t="e">
        <f t="shared" si="542"/>
        <v>#DIV/0!</v>
      </c>
      <c r="AP508" s="176" t="e">
        <f t="shared" si="543"/>
        <v>#DIV/0!</v>
      </c>
      <c r="AQ508" s="176" t="e">
        <f t="shared" si="544"/>
        <v>#DIV/0!</v>
      </c>
      <c r="AR508" s="176" t="e">
        <f t="shared" si="545"/>
        <v>#DIV/0!</v>
      </c>
      <c r="AS508" s="176" t="e">
        <f t="shared" si="546"/>
        <v>#DIV/0!</v>
      </c>
      <c r="AT508" s="176" t="e">
        <f t="shared" si="547"/>
        <v>#DIV/0!</v>
      </c>
      <c r="AU508" s="176" t="e">
        <f t="shared" si="548"/>
        <v>#DIV/0!</v>
      </c>
      <c r="AV508" s="176" t="e">
        <f t="shared" si="549"/>
        <v>#DIV/0!</v>
      </c>
    </row>
    <row r="509" spans="1:49" s="181" customFormat="1" x14ac:dyDescent="0.25">
      <c r="A509" s="185">
        <v>3050142</v>
      </c>
      <c r="B509" s="259" t="s">
        <v>1279</v>
      </c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>
        <f t="shared" si="525"/>
        <v>0</v>
      </c>
      <c r="P509" s="261"/>
      <c r="Q509" s="195"/>
      <c r="R509" s="185"/>
      <c r="S509" s="259"/>
      <c r="T509" s="261"/>
      <c r="U509" s="261"/>
      <c r="V509" s="261"/>
      <c r="W509" s="261">
        <v>0</v>
      </c>
      <c r="X509" s="261"/>
      <c r="Y509" s="261"/>
      <c r="Z509" s="261"/>
      <c r="AA509" s="261"/>
      <c r="AB509" s="261"/>
      <c r="AC509" s="261"/>
      <c r="AD509" s="261"/>
      <c r="AE509" s="261"/>
      <c r="AF509" s="261">
        <f t="shared" si="551"/>
        <v>0</v>
      </c>
      <c r="AG509" s="261">
        <f t="shared" si="552"/>
        <v>0</v>
      </c>
      <c r="AH509" s="195"/>
      <c r="AI509" s="176" t="e">
        <f t="shared" si="536"/>
        <v>#DIV/0!</v>
      </c>
      <c r="AJ509" s="176" t="e">
        <f t="shared" si="537"/>
        <v>#DIV/0!</v>
      </c>
      <c r="AK509" s="176" t="e">
        <f t="shared" si="538"/>
        <v>#DIV/0!</v>
      </c>
      <c r="AL509" s="176" t="e">
        <f t="shared" si="539"/>
        <v>#DIV/0!</v>
      </c>
      <c r="AM509" s="176" t="e">
        <f t="shared" si="540"/>
        <v>#DIV/0!</v>
      </c>
      <c r="AN509" s="176" t="e">
        <f t="shared" si="541"/>
        <v>#DIV/0!</v>
      </c>
      <c r="AO509" s="176" t="e">
        <f t="shared" si="542"/>
        <v>#DIV/0!</v>
      </c>
      <c r="AP509" s="176" t="e">
        <f t="shared" si="543"/>
        <v>#DIV/0!</v>
      </c>
      <c r="AQ509" s="176" t="e">
        <f t="shared" si="544"/>
        <v>#DIV/0!</v>
      </c>
      <c r="AR509" s="176" t="e">
        <f t="shared" si="545"/>
        <v>#DIV/0!</v>
      </c>
      <c r="AS509" s="176" t="e">
        <f t="shared" si="546"/>
        <v>#DIV/0!</v>
      </c>
      <c r="AT509" s="176" t="e">
        <f t="shared" si="547"/>
        <v>#DIV/0!</v>
      </c>
      <c r="AU509" s="176" t="e">
        <f t="shared" si="548"/>
        <v>#DIV/0!</v>
      </c>
      <c r="AV509" s="176" t="e">
        <f t="shared" si="549"/>
        <v>#DIV/0!</v>
      </c>
    </row>
    <row r="510" spans="1:49" s="181" customFormat="1" x14ac:dyDescent="0.25">
      <c r="A510" s="185">
        <v>3050143</v>
      </c>
      <c r="B510" s="259" t="s">
        <v>1280</v>
      </c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>
        <f t="shared" si="525"/>
        <v>0</v>
      </c>
      <c r="P510" s="261"/>
      <c r="Q510" s="195"/>
      <c r="R510" s="185"/>
      <c r="S510" s="259"/>
      <c r="T510" s="261"/>
      <c r="U510" s="261"/>
      <c r="V510" s="261"/>
      <c r="W510" s="261">
        <v>0</v>
      </c>
      <c r="X510" s="261"/>
      <c r="Y510" s="261"/>
      <c r="Z510" s="261"/>
      <c r="AA510" s="261"/>
      <c r="AB510" s="261"/>
      <c r="AC510" s="261"/>
      <c r="AD510" s="261"/>
      <c r="AE510" s="261"/>
      <c r="AF510" s="261">
        <f t="shared" si="551"/>
        <v>0</v>
      </c>
      <c r="AG510" s="261">
        <f t="shared" si="552"/>
        <v>0</v>
      </c>
      <c r="AH510" s="195"/>
      <c r="AI510" s="176" t="e">
        <f t="shared" si="536"/>
        <v>#DIV/0!</v>
      </c>
      <c r="AJ510" s="176" t="e">
        <f t="shared" si="537"/>
        <v>#DIV/0!</v>
      </c>
      <c r="AK510" s="176" t="e">
        <f t="shared" si="538"/>
        <v>#DIV/0!</v>
      </c>
      <c r="AL510" s="176" t="e">
        <f t="shared" si="539"/>
        <v>#DIV/0!</v>
      </c>
      <c r="AM510" s="176" t="e">
        <f t="shared" si="540"/>
        <v>#DIV/0!</v>
      </c>
      <c r="AN510" s="176" t="e">
        <f t="shared" si="541"/>
        <v>#DIV/0!</v>
      </c>
      <c r="AO510" s="176" t="e">
        <f t="shared" si="542"/>
        <v>#DIV/0!</v>
      </c>
      <c r="AP510" s="176" t="e">
        <f t="shared" si="543"/>
        <v>#DIV/0!</v>
      </c>
      <c r="AQ510" s="176" t="e">
        <f t="shared" si="544"/>
        <v>#DIV/0!</v>
      </c>
      <c r="AR510" s="176" t="e">
        <f t="shared" si="545"/>
        <v>#DIV/0!</v>
      </c>
      <c r="AS510" s="176" t="e">
        <f t="shared" si="546"/>
        <v>#DIV/0!</v>
      </c>
      <c r="AT510" s="176" t="e">
        <f t="shared" si="547"/>
        <v>#DIV/0!</v>
      </c>
      <c r="AU510" s="176" t="e">
        <f t="shared" si="548"/>
        <v>#DIV/0!</v>
      </c>
      <c r="AV510" s="176" t="e">
        <f t="shared" si="549"/>
        <v>#DIV/0!</v>
      </c>
      <c r="AW510" s="257"/>
    </row>
    <row r="511" spans="1:49" s="181" customFormat="1" x14ac:dyDescent="0.25">
      <c r="A511" s="185">
        <v>3050144</v>
      </c>
      <c r="B511" s="259" t="s">
        <v>1281</v>
      </c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>
        <f t="shared" si="525"/>
        <v>0</v>
      </c>
      <c r="P511" s="261"/>
      <c r="Q511" s="195"/>
      <c r="R511" s="185"/>
      <c r="S511" s="259"/>
      <c r="T511" s="261"/>
      <c r="U511" s="261"/>
      <c r="V511" s="261"/>
      <c r="W511" s="261">
        <v>0</v>
      </c>
      <c r="X511" s="261"/>
      <c r="Y511" s="261"/>
      <c r="Z511" s="261"/>
      <c r="AA511" s="261"/>
      <c r="AB511" s="261"/>
      <c r="AC511" s="261"/>
      <c r="AD511" s="261"/>
      <c r="AE511" s="261"/>
      <c r="AF511" s="261">
        <f t="shared" si="551"/>
        <v>0</v>
      </c>
      <c r="AG511" s="261">
        <f t="shared" si="552"/>
        <v>0</v>
      </c>
      <c r="AH511" s="195"/>
      <c r="AI511" s="176" t="e">
        <f t="shared" si="536"/>
        <v>#DIV/0!</v>
      </c>
      <c r="AJ511" s="176" t="e">
        <f t="shared" si="537"/>
        <v>#DIV/0!</v>
      </c>
      <c r="AK511" s="176" t="e">
        <f t="shared" si="538"/>
        <v>#DIV/0!</v>
      </c>
      <c r="AL511" s="176" t="e">
        <f t="shared" si="539"/>
        <v>#DIV/0!</v>
      </c>
      <c r="AM511" s="176" t="e">
        <f t="shared" si="540"/>
        <v>#DIV/0!</v>
      </c>
      <c r="AN511" s="176" t="e">
        <f t="shared" si="541"/>
        <v>#DIV/0!</v>
      </c>
      <c r="AO511" s="176" t="e">
        <f t="shared" si="542"/>
        <v>#DIV/0!</v>
      </c>
      <c r="AP511" s="176" t="e">
        <f t="shared" si="543"/>
        <v>#DIV/0!</v>
      </c>
      <c r="AQ511" s="176" t="e">
        <f t="shared" si="544"/>
        <v>#DIV/0!</v>
      </c>
      <c r="AR511" s="176" t="e">
        <f t="shared" si="545"/>
        <v>#DIV/0!</v>
      </c>
      <c r="AS511" s="176" t="e">
        <f t="shared" si="546"/>
        <v>#DIV/0!</v>
      </c>
      <c r="AT511" s="176" t="e">
        <f t="shared" si="547"/>
        <v>#DIV/0!</v>
      </c>
      <c r="AU511" s="176" t="e">
        <f t="shared" si="548"/>
        <v>#DIV/0!</v>
      </c>
      <c r="AV511" s="176" t="e">
        <f t="shared" si="549"/>
        <v>#DIV/0!</v>
      </c>
      <c r="AW511" s="257"/>
    </row>
    <row r="512" spans="1:49" s="181" customFormat="1" x14ac:dyDescent="0.25">
      <c r="A512" s="185">
        <v>3050145</v>
      </c>
      <c r="B512" s="259" t="s">
        <v>1282</v>
      </c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>
        <f t="shared" si="525"/>
        <v>0</v>
      </c>
      <c r="P512" s="261"/>
      <c r="Q512" s="195"/>
      <c r="R512" s="185"/>
      <c r="S512" s="259"/>
      <c r="T512" s="261"/>
      <c r="U512" s="261"/>
      <c r="V512" s="261"/>
      <c r="W512" s="261">
        <v>0</v>
      </c>
      <c r="X512" s="261"/>
      <c r="Y512" s="261"/>
      <c r="Z512" s="261"/>
      <c r="AA512" s="261"/>
      <c r="AB512" s="261"/>
      <c r="AC512" s="261"/>
      <c r="AD512" s="261"/>
      <c r="AE512" s="261"/>
      <c r="AF512" s="261">
        <f t="shared" si="551"/>
        <v>0</v>
      </c>
      <c r="AG512" s="261">
        <f t="shared" si="552"/>
        <v>0</v>
      </c>
      <c r="AH512" s="195"/>
      <c r="AI512" s="176" t="e">
        <f t="shared" si="536"/>
        <v>#DIV/0!</v>
      </c>
      <c r="AJ512" s="176" t="e">
        <f t="shared" si="537"/>
        <v>#DIV/0!</v>
      </c>
      <c r="AK512" s="176" t="e">
        <f t="shared" si="538"/>
        <v>#DIV/0!</v>
      </c>
      <c r="AL512" s="176" t="e">
        <f t="shared" si="539"/>
        <v>#DIV/0!</v>
      </c>
      <c r="AM512" s="176" t="e">
        <f t="shared" si="540"/>
        <v>#DIV/0!</v>
      </c>
      <c r="AN512" s="176" t="e">
        <f t="shared" si="541"/>
        <v>#DIV/0!</v>
      </c>
      <c r="AO512" s="176" t="e">
        <f t="shared" si="542"/>
        <v>#DIV/0!</v>
      </c>
      <c r="AP512" s="176" t="e">
        <f t="shared" si="543"/>
        <v>#DIV/0!</v>
      </c>
      <c r="AQ512" s="176" t="e">
        <f t="shared" si="544"/>
        <v>#DIV/0!</v>
      </c>
      <c r="AR512" s="176" t="e">
        <f t="shared" si="545"/>
        <v>#DIV/0!</v>
      </c>
      <c r="AS512" s="176" t="e">
        <f t="shared" si="546"/>
        <v>#DIV/0!</v>
      </c>
      <c r="AT512" s="176" t="e">
        <f t="shared" si="547"/>
        <v>#DIV/0!</v>
      </c>
      <c r="AU512" s="176" t="e">
        <f t="shared" si="548"/>
        <v>#DIV/0!</v>
      </c>
      <c r="AV512" s="176" t="e">
        <f t="shared" si="549"/>
        <v>#DIV/0!</v>
      </c>
      <c r="AW512" s="257"/>
    </row>
    <row r="513" spans="1:49" s="181" customFormat="1" x14ac:dyDescent="0.25">
      <c r="A513" s="185">
        <v>3050146</v>
      </c>
      <c r="B513" s="259" t="s">
        <v>1283</v>
      </c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>
        <f t="shared" si="525"/>
        <v>0</v>
      </c>
      <c r="P513" s="261"/>
      <c r="Q513" s="195"/>
      <c r="R513" s="185"/>
      <c r="S513" s="259"/>
      <c r="T513" s="261"/>
      <c r="U513" s="261"/>
      <c r="V513" s="261"/>
      <c r="W513" s="261">
        <v>0</v>
      </c>
      <c r="X513" s="261"/>
      <c r="Y513" s="261"/>
      <c r="Z513" s="261"/>
      <c r="AA513" s="261"/>
      <c r="AB513" s="261"/>
      <c r="AC513" s="261"/>
      <c r="AD513" s="261"/>
      <c r="AE513" s="261"/>
      <c r="AF513" s="261">
        <f t="shared" si="551"/>
        <v>0</v>
      </c>
      <c r="AG513" s="261">
        <f t="shared" si="552"/>
        <v>0</v>
      </c>
      <c r="AH513" s="195"/>
      <c r="AI513" s="176" t="e">
        <f t="shared" si="536"/>
        <v>#DIV/0!</v>
      </c>
      <c r="AJ513" s="176" t="e">
        <f t="shared" si="537"/>
        <v>#DIV/0!</v>
      </c>
      <c r="AK513" s="176" t="e">
        <f t="shared" si="538"/>
        <v>#DIV/0!</v>
      </c>
      <c r="AL513" s="176" t="e">
        <f t="shared" si="539"/>
        <v>#DIV/0!</v>
      </c>
      <c r="AM513" s="176" t="e">
        <f t="shared" si="540"/>
        <v>#DIV/0!</v>
      </c>
      <c r="AN513" s="176" t="e">
        <f t="shared" si="541"/>
        <v>#DIV/0!</v>
      </c>
      <c r="AO513" s="176" t="e">
        <f t="shared" si="542"/>
        <v>#DIV/0!</v>
      </c>
      <c r="AP513" s="176" t="e">
        <f t="shared" si="543"/>
        <v>#DIV/0!</v>
      </c>
      <c r="AQ513" s="176" t="e">
        <f t="shared" si="544"/>
        <v>#DIV/0!</v>
      </c>
      <c r="AR513" s="176" t="e">
        <f t="shared" si="545"/>
        <v>#DIV/0!</v>
      </c>
      <c r="AS513" s="176" t="e">
        <f t="shared" si="546"/>
        <v>#DIV/0!</v>
      </c>
      <c r="AT513" s="176" t="e">
        <f t="shared" si="547"/>
        <v>#DIV/0!</v>
      </c>
      <c r="AU513" s="176" t="e">
        <f t="shared" si="548"/>
        <v>#DIV/0!</v>
      </c>
      <c r="AV513" s="176" t="e">
        <f t="shared" si="549"/>
        <v>#DIV/0!</v>
      </c>
      <c r="AW513" s="257"/>
    </row>
    <row r="514" spans="1:49" s="181" customFormat="1" x14ac:dyDescent="0.25">
      <c r="A514" s="185">
        <v>3050147</v>
      </c>
      <c r="B514" s="259" t="s">
        <v>1284</v>
      </c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>
        <f t="shared" si="525"/>
        <v>0</v>
      </c>
      <c r="P514" s="261"/>
      <c r="Q514" s="195"/>
      <c r="R514" s="185"/>
      <c r="S514" s="259"/>
      <c r="T514" s="261"/>
      <c r="U514" s="261"/>
      <c r="V514" s="261"/>
      <c r="W514" s="261">
        <v>0</v>
      </c>
      <c r="X514" s="261"/>
      <c r="Y514" s="261"/>
      <c r="Z514" s="261"/>
      <c r="AA514" s="261"/>
      <c r="AB514" s="261"/>
      <c r="AC514" s="261"/>
      <c r="AD514" s="261"/>
      <c r="AE514" s="261"/>
      <c r="AF514" s="261">
        <f t="shared" si="551"/>
        <v>0</v>
      </c>
      <c r="AG514" s="261">
        <f t="shared" si="552"/>
        <v>0</v>
      </c>
      <c r="AH514" s="195"/>
      <c r="AI514" s="176" t="e">
        <f t="shared" si="536"/>
        <v>#DIV/0!</v>
      </c>
      <c r="AJ514" s="176" t="e">
        <f t="shared" si="537"/>
        <v>#DIV/0!</v>
      </c>
      <c r="AK514" s="176" t="e">
        <f t="shared" si="538"/>
        <v>#DIV/0!</v>
      </c>
      <c r="AL514" s="176" t="e">
        <f t="shared" si="539"/>
        <v>#DIV/0!</v>
      </c>
      <c r="AM514" s="176" t="e">
        <f t="shared" si="540"/>
        <v>#DIV/0!</v>
      </c>
      <c r="AN514" s="176" t="e">
        <f t="shared" si="541"/>
        <v>#DIV/0!</v>
      </c>
      <c r="AO514" s="176" t="e">
        <f t="shared" si="542"/>
        <v>#DIV/0!</v>
      </c>
      <c r="AP514" s="176" t="e">
        <f t="shared" si="543"/>
        <v>#DIV/0!</v>
      </c>
      <c r="AQ514" s="176" t="e">
        <f t="shared" si="544"/>
        <v>#DIV/0!</v>
      </c>
      <c r="AR514" s="176" t="e">
        <f t="shared" si="545"/>
        <v>#DIV/0!</v>
      </c>
      <c r="AS514" s="176" t="e">
        <f t="shared" si="546"/>
        <v>#DIV/0!</v>
      </c>
      <c r="AT514" s="176" t="e">
        <f t="shared" si="547"/>
        <v>#DIV/0!</v>
      </c>
      <c r="AU514" s="176" t="e">
        <f t="shared" si="548"/>
        <v>#DIV/0!</v>
      </c>
      <c r="AV514" s="176" t="e">
        <f t="shared" si="549"/>
        <v>#DIV/0!</v>
      </c>
      <c r="AW514" s="257"/>
    </row>
    <row r="515" spans="1:49" s="181" customFormat="1" x14ac:dyDescent="0.25">
      <c r="A515" s="185">
        <v>3050148</v>
      </c>
      <c r="B515" s="259" t="s">
        <v>1285</v>
      </c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>
        <f t="shared" si="525"/>
        <v>0</v>
      </c>
      <c r="P515" s="261"/>
      <c r="Q515" s="195"/>
      <c r="R515" s="185"/>
      <c r="S515" s="259"/>
      <c r="T515" s="261"/>
      <c r="U515" s="261"/>
      <c r="V515" s="261"/>
      <c r="W515" s="261">
        <v>0</v>
      </c>
      <c r="X515" s="261"/>
      <c r="Y515" s="261"/>
      <c r="Z515" s="261"/>
      <c r="AA515" s="261"/>
      <c r="AB515" s="261"/>
      <c r="AC515" s="261"/>
      <c r="AD515" s="261"/>
      <c r="AE515" s="261"/>
      <c r="AF515" s="261">
        <f t="shared" si="551"/>
        <v>0</v>
      </c>
      <c r="AG515" s="261">
        <f t="shared" si="552"/>
        <v>0</v>
      </c>
      <c r="AH515" s="195"/>
      <c r="AI515" s="176" t="e">
        <f t="shared" si="536"/>
        <v>#DIV/0!</v>
      </c>
      <c r="AJ515" s="176" t="e">
        <f t="shared" si="537"/>
        <v>#DIV/0!</v>
      </c>
      <c r="AK515" s="176" t="e">
        <f t="shared" si="538"/>
        <v>#DIV/0!</v>
      </c>
      <c r="AL515" s="176" t="e">
        <f t="shared" si="539"/>
        <v>#DIV/0!</v>
      </c>
      <c r="AM515" s="176" t="e">
        <f t="shared" si="540"/>
        <v>#DIV/0!</v>
      </c>
      <c r="AN515" s="176" t="e">
        <f t="shared" si="541"/>
        <v>#DIV/0!</v>
      </c>
      <c r="AO515" s="176" t="e">
        <f t="shared" si="542"/>
        <v>#DIV/0!</v>
      </c>
      <c r="AP515" s="176" t="e">
        <f t="shared" si="543"/>
        <v>#DIV/0!</v>
      </c>
      <c r="AQ515" s="176" t="e">
        <f t="shared" si="544"/>
        <v>#DIV/0!</v>
      </c>
      <c r="AR515" s="176" t="e">
        <f t="shared" si="545"/>
        <v>#DIV/0!</v>
      </c>
      <c r="AS515" s="176" t="e">
        <f t="shared" si="546"/>
        <v>#DIV/0!</v>
      </c>
      <c r="AT515" s="176" t="e">
        <f t="shared" si="547"/>
        <v>#DIV/0!</v>
      </c>
      <c r="AU515" s="176" t="e">
        <f t="shared" si="548"/>
        <v>#DIV/0!</v>
      </c>
      <c r="AV515" s="176" t="e">
        <f t="shared" si="549"/>
        <v>#DIV/0!</v>
      </c>
      <c r="AW515" s="257"/>
    </row>
    <row r="516" spans="1:49" s="181" customFormat="1" x14ac:dyDescent="0.25">
      <c r="A516" s="185">
        <v>3050149</v>
      </c>
      <c r="B516" s="259" t="s">
        <v>1286</v>
      </c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>
        <f t="shared" si="525"/>
        <v>0</v>
      </c>
      <c r="P516" s="261"/>
      <c r="Q516" s="195"/>
      <c r="R516" s="185"/>
      <c r="S516" s="259"/>
      <c r="T516" s="261"/>
      <c r="U516" s="261"/>
      <c r="V516" s="261"/>
      <c r="W516" s="261">
        <v>0</v>
      </c>
      <c r="X516" s="261"/>
      <c r="Y516" s="261"/>
      <c r="Z516" s="261"/>
      <c r="AA516" s="261"/>
      <c r="AB516" s="261"/>
      <c r="AC516" s="261"/>
      <c r="AD516" s="261"/>
      <c r="AE516" s="261"/>
      <c r="AF516" s="261">
        <f t="shared" si="551"/>
        <v>0</v>
      </c>
      <c r="AG516" s="261">
        <f t="shared" si="552"/>
        <v>0</v>
      </c>
      <c r="AH516" s="195"/>
      <c r="AI516" s="176" t="e">
        <f t="shared" si="536"/>
        <v>#DIV/0!</v>
      </c>
      <c r="AJ516" s="176" t="e">
        <f t="shared" si="537"/>
        <v>#DIV/0!</v>
      </c>
      <c r="AK516" s="176" t="e">
        <f t="shared" si="538"/>
        <v>#DIV/0!</v>
      </c>
      <c r="AL516" s="176" t="e">
        <f t="shared" si="539"/>
        <v>#DIV/0!</v>
      </c>
      <c r="AM516" s="176" t="e">
        <f t="shared" si="540"/>
        <v>#DIV/0!</v>
      </c>
      <c r="AN516" s="176" t="e">
        <f t="shared" si="541"/>
        <v>#DIV/0!</v>
      </c>
      <c r="AO516" s="176" t="e">
        <f t="shared" si="542"/>
        <v>#DIV/0!</v>
      </c>
      <c r="AP516" s="176" t="e">
        <f t="shared" si="543"/>
        <v>#DIV/0!</v>
      </c>
      <c r="AQ516" s="176" t="e">
        <f t="shared" si="544"/>
        <v>#DIV/0!</v>
      </c>
      <c r="AR516" s="176" t="e">
        <f t="shared" si="545"/>
        <v>#DIV/0!</v>
      </c>
      <c r="AS516" s="176" t="e">
        <f t="shared" si="546"/>
        <v>#DIV/0!</v>
      </c>
      <c r="AT516" s="176" t="e">
        <f t="shared" si="547"/>
        <v>#DIV/0!</v>
      </c>
      <c r="AU516" s="176" t="e">
        <f t="shared" si="548"/>
        <v>#DIV/0!</v>
      </c>
      <c r="AV516" s="176" t="e">
        <f t="shared" si="549"/>
        <v>#DIV/0!</v>
      </c>
      <c r="AW516" s="257"/>
    </row>
    <row r="517" spans="1:49" s="181" customFormat="1" x14ac:dyDescent="0.25">
      <c r="A517" s="185">
        <v>3050150</v>
      </c>
      <c r="B517" s="259" t="s">
        <v>1287</v>
      </c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>
        <f t="shared" si="525"/>
        <v>0</v>
      </c>
      <c r="P517" s="261"/>
      <c r="Q517" s="195"/>
      <c r="R517" s="185"/>
      <c r="S517" s="259"/>
      <c r="T517" s="261"/>
      <c r="U517" s="261"/>
      <c r="V517" s="261"/>
      <c r="W517" s="261">
        <v>0</v>
      </c>
      <c r="X517" s="261"/>
      <c r="Y517" s="261"/>
      <c r="Z517" s="261"/>
      <c r="AA517" s="261"/>
      <c r="AB517" s="261"/>
      <c r="AC517" s="261"/>
      <c r="AD517" s="261"/>
      <c r="AE517" s="261"/>
      <c r="AF517" s="261">
        <f t="shared" si="551"/>
        <v>0</v>
      </c>
      <c r="AG517" s="261">
        <f t="shared" si="552"/>
        <v>0</v>
      </c>
      <c r="AH517" s="195"/>
      <c r="AI517" s="176" t="e">
        <f t="shared" si="536"/>
        <v>#DIV/0!</v>
      </c>
      <c r="AJ517" s="176" t="e">
        <f t="shared" si="537"/>
        <v>#DIV/0!</v>
      </c>
      <c r="AK517" s="176" t="e">
        <f t="shared" si="538"/>
        <v>#DIV/0!</v>
      </c>
      <c r="AL517" s="176" t="e">
        <f t="shared" si="539"/>
        <v>#DIV/0!</v>
      </c>
      <c r="AM517" s="176" t="e">
        <f t="shared" si="540"/>
        <v>#DIV/0!</v>
      </c>
      <c r="AN517" s="176" t="e">
        <f t="shared" si="541"/>
        <v>#DIV/0!</v>
      </c>
      <c r="AO517" s="176" t="e">
        <f t="shared" si="542"/>
        <v>#DIV/0!</v>
      </c>
      <c r="AP517" s="176" t="e">
        <f t="shared" si="543"/>
        <v>#DIV/0!</v>
      </c>
      <c r="AQ517" s="176" t="e">
        <f t="shared" si="544"/>
        <v>#DIV/0!</v>
      </c>
      <c r="AR517" s="176" t="e">
        <f t="shared" si="545"/>
        <v>#DIV/0!</v>
      </c>
      <c r="AS517" s="176" t="e">
        <f t="shared" si="546"/>
        <v>#DIV/0!</v>
      </c>
      <c r="AT517" s="176" t="e">
        <f t="shared" si="547"/>
        <v>#DIV/0!</v>
      </c>
      <c r="AU517" s="176" t="e">
        <f t="shared" si="548"/>
        <v>#DIV/0!</v>
      </c>
      <c r="AV517" s="176" t="e">
        <f t="shared" si="549"/>
        <v>#DIV/0!</v>
      </c>
      <c r="AW517" s="257"/>
    </row>
    <row r="518" spans="1:49" s="181" customFormat="1" x14ac:dyDescent="0.25">
      <c r="A518" s="185">
        <v>3050151</v>
      </c>
      <c r="B518" s="259" t="s">
        <v>1288</v>
      </c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>
        <f t="shared" si="525"/>
        <v>0</v>
      </c>
      <c r="P518" s="261"/>
      <c r="Q518" s="195"/>
      <c r="R518" s="185"/>
      <c r="S518" s="259"/>
      <c r="T518" s="261"/>
      <c r="U518" s="261"/>
      <c r="V518" s="261"/>
      <c r="W518" s="261">
        <v>0</v>
      </c>
      <c r="X518" s="261"/>
      <c r="Y518" s="261"/>
      <c r="Z518" s="261"/>
      <c r="AA518" s="261"/>
      <c r="AB518" s="261"/>
      <c r="AC518" s="261"/>
      <c r="AD518" s="261"/>
      <c r="AE518" s="261"/>
      <c r="AF518" s="261">
        <f t="shared" si="551"/>
        <v>0</v>
      </c>
      <c r="AG518" s="261">
        <f t="shared" si="552"/>
        <v>0</v>
      </c>
      <c r="AH518" s="195"/>
      <c r="AI518" s="176" t="e">
        <f t="shared" si="536"/>
        <v>#DIV/0!</v>
      </c>
      <c r="AJ518" s="176" t="e">
        <f t="shared" si="537"/>
        <v>#DIV/0!</v>
      </c>
      <c r="AK518" s="176" t="e">
        <f t="shared" si="538"/>
        <v>#DIV/0!</v>
      </c>
      <c r="AL518" s="176" t="e">
        <f t="shared" si="539"/>
        <v>#DIV/0!</v>
      </c>
      <c r="AM518" s="176" t="e">
        <f t="shared" si="540"/>
        <v>#DIV/0!</v>
      </c>
      <c r="AN518" s="176" t="e">
        <f t="shared" si="541"/>
        <v>#DIV/0!</v>
      </c>
      <c r="AO518" s="176" t="e">
        <f t="shared" si="542"/>
        <v>#DIV/0!</v>
      </c>
      <c r="AP518" s="176" t="e">
        <f t="shared" si="543"/>
        <v>#DIV/0!</v>
      </c>
      <c r="AQ518" s="176" t="e">
        <f t="shared" si="544"/>
        <v>#DIV/0!</v>
      </c>
      <c r="AR518" s="176" t="e">
        <f t="shared" si="545"/>
        <v>#DIV/0!</v>
      </c>
      <c r="AS518" s="176" t="e">
        <f t="shared" si="546"/>
        <v>#DIV/0!</v>
      </c>
      <c r="AT518" s="176" t="e">
        <f t="shared" si="547"/>
        <v>#DIV/0!</v>
      </c>
      <c r="AU518" s="176" t="e">
        <f t="shared" si="548"/>
        <v>#DIV/0!</v>
      </c>
      <c r="AV518" s="176" t="e">
        <f t="shared" si="549"/>
        <v>#DIV/0!</v>
      </c>
      <c r="AW518" s="257"/>
    </row>
    <row r="519" spans="1:49" x14ac:dyDescent="0.25">
      <c r="A519" s="185">
        <v>3050152</v>
      </c>
      <c r="B519" s="259" t="s">
        <v>1289</v>
      </c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>
        <f t="shared" si="525"/>
        <v>0</v>
      </c>
      <c r="P519" s="261"/>
      <c r="R519" s="185"/>
      <c r="S519" s="259"/>
      <c r="T519" s="261"/>
      <c r="U519" s="261"/>
      <c r="V519" s="261"/>
      <c r="W519" s="261">
        <v>0</v>
      </c>
      <c r="X519" s="261"/>
      <c r="Y519" s="261"/>
      <c r="Z519" s="261"/>
      <c r="AA519" s="261"/>
      <c r="AB519" s="261"/>
      <c r="AC519" s="261"/>
      <c r="AD519" s="261"/>
      <c r="AE519" s="261"/>
      <c r="AF519" s="261">
        <f t="shared" si="551"/>
        <v>0</v>
      </c>
      <c r="AG519" s="261">
        <f t="shared" si="552"/>
        <v>0</v>
      </c>
      <c r="AI519" s="176" t="e">
        <f t="shared" si="536"/>
        <v>#DIV/0!</v>
      </c>
      <c r="AJ519" s="176" t="e">
        <f t="shared" si="537"/>
        <v>#DIV/0!</v>
      </c>
      <c r="AK519" s="176" t="e">
        <f t="shared" si="538"/>
        <v>#DIV/0!</v>
      </c>
      <c r="AL519" s="176" t="e">
        <f t="shared" si="539"/>
        <v>#DIV/0!</v>
      </c>
      <c r="AM519" s="176" t="e">
        <f t="shared" si="540"/>
        <v>#DIV/0!</v>
      </c>
      <c r="AN519" s="176" t="e">
        <f t="shared" si="541"/>
        <v>#DIV/0!</v>
      </c>
      <c r="AO519" s="176" t="e">
        <f t="shared" si="542"/>
        <v>#DIV/0!</v>
      </c>
      <c r="AP519" s="176" t="e">
        <f t="shared" si="543"/>
        <v>#DIV/0!</v>
      </c>
      <c r="AQ519" s="176" t="e">
        <f t="shared" si="544"/>
        <v>#DIV/0!</v>
      </c>
      <c r="AR519" s="176" t="e">
        <f t="shared" si="545"/>
        <v>#DIV/0!</v>
      </c>
      <c r="AS519" s="176" t="e">
        <f t="shared" si="546"/>
        <v>#DIV/0!</v>
      </c>
      <c r="AT519" s="176" t="e">
        <f t="shared" si="547"/>
        <v>#DIV/0!</v>
      </c>
      <c r="AU519" s="176" t="e">
        <f t="shared" si="548"/>
        <v>#DIV/0!</v>
      </c>
      <c r="AV519" s="176" t="e">
        <f t="shared" si="549"/>
        <v>#DIV/0!</v>
      </c>
      <c r="AW519" s="257"/>
    </row>
    <row r="520" spans="1:49" x14ac:dyDescent="0.25">
      <c r="A520" s="185">
        <v>3050153</v>
      </c>
      <c r="B520" s="259" t="s">
        <v>1290</v>
      </c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>
        <f t="shared" si="525"/>
        <v>0</v>
      </c>
      <c r="P520" s="261"/>
      <c r="R520" s="185"/>
      <c r="S520" s="259"/>
      <c r="T520" s="261"/>
      <c r="U520" s="261"/>
      <c r="V520" s="261"/>
      <c r="W520" s="261">
        <v>0</v>
      </c>
      <c r="X520" s="261"/>
      <c r="Y520" s="261"/>
      <c r="Z520" s="261"/>
      <c r="AA520" s="261"/>
      <c r="AB520" s="261"/>
      <c r="AC520" s="261"/>
      <c r="AD520" s="261"/>
      <c r="AE520" s="261"/>
      <c r="AF520" s="261">
        <f t="shared" si="551"/>
        <v>0</v>
      </c>
      <c r="AG520" s="261">
        <f t="shared" si="552"/>
        <v>0</v>
      </c>
      <c r="AI520" s="176" t="e">
        <f t="shared" si="536"/>
        <v>#DIV/0!</v>
      </c>
      <c r="AJ520" s="176" t="e">
        <f t="shared" si="537"/>
        <v>#DIV/0!</v>
      </c>
      <c r="AK520" s="176" t="e">
        <f t="shared" si="538"/>
        <v>#DIV/0!</v>
      </c>
      <c r="AL520" s="176" t="e">
        <f t="shared" si="539"/>
        <v>#DIV/0!</v>
      </c>
      <c r="AM520" s="176" t="e">
        <f t="shared" si="540"/>
        <v>#DIV/0!</v>
      </c>
      <c r="AN520" s="176" t="e">
        <f t="shared" si="541"/>
        <v>#DIV/0!</v>
      </c>
      <c r="AO520" s="176" t="e">
        <f t="shared" si="542"/>
        <v>#DIV/0!</v>
      </c>
      <c r="AP520" s="176" t="e">
        <f t="shared" si="543"/>
        <v>#DIV/0!</v>
      </c>
      <c r="AQ520" s="176" t="e">
        <f t="shared" si="544"/>
        <v>#DIV/0!</v>
      </c>
      <c r="AR520" s="176" t="e">
        <f t="shared" si="545"/>
        <v>#DIV/0!</v>
      </c>
      <c r="AS520" s="176" t="e">
        <f t="shared" si="546"/>
        <v>#DIV/0!</v>
      </c>
      <c r="AT520" s="176" t="e">
        <f t="shared" si="547"/>
        <v>#DIV/0!</v>
      </c>
      <c r="AU520" s="176" t="e">
        <f t="shared" si="548"/>
        <v>#DIV/0!</v>
      </c>
      <c r="AV520" s="176" t="e">
        <f t="shared" si="549"/>
        <v>#DIV/0!</v>
      </c>
      <c r="AW520" s="257"/>
    </row>
    <row r="521" spans="1:49" x14ac:dyDescent="0.25">
      <c r="A521" s="185">
        <v>3050154</v>
      </c>
      <c r="B521" s="259" t="s">
        <v>1291</v>
      </c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>
        <f t="shared" si="525"/>
        <v>0</v>
      </c>
      <c r="P521" s="261"/>
      <c r="R521" s="185"/>
      <c r="S521" s="259"/>
      <c r="T521" s="261"/>
      <c r="U521" s="261"/>
      <c r="V521" s="261"/>
      <c r="W521" s="261">
        <v>0</v>
      </c>
      <c r="X521" s="261"/>
      <c r="Y521" s="261"/>
      <c r="Z521" s="261"/>
      <c r="AA521" s="261"/>
      <c r="AB521" s="261"/>
      <c r="AC521" s="261"/>
      <c r="AD521" s="261"/>
      <c r="AE521" s="261"/>
      <c r="AF521" s="261">
        <f t="shared" si="551"/>
        <v>0</v>
      </c>
      <c r="AG521" s="261">
        <f t="shared" si="552"/>
        <v>0</v>
      </c>
      <c r="AI521" s="176" t="e">
        <f t="shared" si="536"/>
        <v>#DIV/0!</v>
      </c>
      <c r="AJ521" s="176" t="e">
        <f t="shared" si="537"/>
        <v>#DIV/0!</v>
      </c>
      <c r="AK521" s="176" t="e">
        <f t="shared" si="538"/>
        <v>#DIV/0!</v>
      </c>
      <c r="AL521" s="176" t="e">
        <f t="shared" si="539"/>
        <v>#DIV/0!</v>
      </c>
      <c r="AM521" s="176" t="e">
        <f t="shared" si="540"/>
        <v>#DIV/0!</v>
      </c>
      <c r="AN521" s="176" t="e">
        <f t="shared" si="541"/>
        <v>#DIV/0!</v>
      </c>
      <c r="AO521" s="176" t="e">
        <f t="shared" si="542"/>
        <v>#DIV/0!</v>
      </c>
      <c r="AP521" s="176" t="e">
        <f t="shared" si="543"/>
        <v>#DIV/0!</v>
      </c>
      <c r="AQ521" s="176" t="e">
        <f t="shared" si="544"/>
        <v>#DIV/0!</v>
      </c>
      <c r="AR521" s="176" t="e">
        <f t="shared" si="545"/>
        <v>#DIV/0!</v>
      </c>
      <c r="AS521" s="176" t="e">
        <f t="shared" si="546"/>
        <v>#DIV/0!</v>
      </c>
      <c r="AT521" s="176" t="e">
        <f t="shared" si="547"/>
        <v>#DIV/0!</v>
      </c>
      <c r="AU521" s="176" t="e">
        <f t="shared" si="548"/>
        <v>#DIV/0!</v>
      </c>
      <c r="AV521" s="176" t="e">
        <f t="shared" si="549"/>
        <v>#DIV/0!</v>
      </c>
      <c r="AW521" s="257"/>
    </row>
    <row r="522" spans="1:49" x14ac:dyDescent="0.25">
      <c r="A522" s="185">
        <v>3050155</v>
      </c>
      <c r="B522" s="259" t="s">
        <v>1292</v>
      </c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>
        <f t="shared" si="525"/>
        <v>0</v>
      </c>
      <c r="P522" s="261"/>
      <c r="R522" s="185"/>
      <c r="S522" s="259"/>
      <c r="T522" s="261"/>
      <c r="U522" s="261"/>
      <c r="V522" s="261"/>
      <c r="W522" s="261">
        <v>322730000</v>
      </c>
      <c r="X522" s="261"/>
      <c r="Y522" s="261"/>
      <c r="Z522" s="261"/>
      <c r="AA522" s="261"/>
      <c r="AB522" s="261"/>
      <c r="AC522" s="261"/>
      <c r="AD522" s="261"/>
      <c r="AE522" s="261"/>
      <c r="AF522" s="261">
        <f t="shared" si="551"/>
        <v>322730000</v>
      </c>
      <c r="AG522" s="261">
        <f t="shared" si="552"/>
        <v>322730000</v>
      </c>
      <c r="AI522" s="176" t="e">
        <f t="shared" si="536"/>
        <v>#DIV/0!</v>
      </c>
      <c r="AJ522" s="176" t="e">
        <f t="shared" si="537"/>
        <v>#DIV/0!</v>
      </c>
      <c r="AK522" s="176" t="e">
        <f t="shared" si="538"/>
        <v>#DIV/0!</v>
      </c>
      <c r="AL522" s="176" t="e">
        <f t="shared" si="539"/>
        <v>#DIV/0!</v>
      </c>
      <c r="AM522" s="176" t="e">
        <f t="shared" si="540"/>
        <v>#DIV/0!</v>
      </c>
      <c r="AN522" s="176" t="e">
        <f t="shared" si="541"/>
        <v>#DIV/0!</v>
      </c>
      <c r="AO522" s="176" t="e">
        <f t="shared" si="542"/>
        <v>#DIV/0!</v>
      </c>
      <c r="AP522" s="176" t="e">
        <f t="shared" si="543"/>
        <v>#DIV/0!</v>
      </c>
      <c r="AQ522" s="176" t="e">
        <f t="shared" si="544"/>
        <v>#DIV/0!</v>
      </c>
      <c r="AR522" s="176" t="e">
        <f t="shared" si="545"/>
        <v>#DIV/0!</v>
      </c>
      <c r="AS522" s="176" t="e">
        <f t="shared" si="546"/>
        <v>#DIV/0!</v>
      </c>
      <c r="AT522" s="176" t="e">
        <f t="shared" si="547"/>
        <v>#DIV/0!</v>
      </c>
      <c r="AU522" s="176" t="e">
        <f t="shared" si="548"/>
        <v>#DIV/0!</v>
      </c>
      <c r="AV522" s="176" t="e">
        <f t="shared" si="549"/>
        <v>#DIV/0!</v>
      </c>
      <c r="AW522" s="257"/>
    </row>
    <row r="523" spans="1:49" x14ac:dyDescent="0.25">
      <c r="A523" s="185">
        <v>3050156</v>
      </c>
      <c r="B523" s="259" t="s">
        <v>1293</v>
      </c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261"/>
      <c r="N523" s="261"/>
      <c r="O523" s="261">
        <f t="shared" ref="O523:O586" si="553">+C523+D523+E523+F523</f>
        <v>0</v>
      </c>
      <c r="P523" s="261"/>
      <c r="R523" s="185"/>
      <c r="S523" s="259"/>
      <c r="T523" s="261"/>
      <c r="U523" s="261"/>
      <c r="V523" s="261"/>
      <c r="W523" s="261">
        <v>0</v>
      </c>
      <c r="X523" s="261"/>
      <c r="Y523" s="261"/>
      <c r="Z523" s="261"/>
      <c r="AA523" s="261"/>
      <c r="AB523" s="261"/>
      <c r="AC523" s="261"/>
      <c r="AD523" s="261"/>
      <c r="AE523" s="261"/>
      <c r="AF523" s="261">
        <f t="shared" si="551"/>
        <v>0</v>
      </c>
      <c r="AG523" s="261">
        <f t="shared" si="552"/>
        <v>0</v>
      </c>
      <c r="AI523" s="176" t="e">
        <f t="shared" si="536"/>
        <v>#DIV/0!</v>
      </c>
      <c r="AJ523" s="176" t="e">
        <f t="shared" si="537"/>
        <v>#DIV/0!</v>
      </c>
      <c r="AK523" s="176" t="e">
        <f t="shared" si="538"/>
        <v>#DIV/0!</v>
      </c>
      <c r="AL523" s="176" t="e">
        <f t="shared" si="539"/>
        <v>#DIV/0!</v>
      </c>
      <c r="AM523" s="176" t="e">
        <f t="shared" si="540"/>
        <v>#DIV/0!</v>
      </c>
      <c r="AN523" s="176" t="e">
        <f t="shared" si="541"/>
        <v>#DIV/0!</v>
      </c>
      <c r="AO523" s="176" t="e">
        <f t="shared" si="542"/>
        <v>#DIV/0!</v>
      </c>
      <c r="AP523" s="176" t="e">
        <f t="shared" si="543"/>
        <v>#DIV/0!</v>
      </c>
      <c r="AQ523" s="176" t="e">
        <f t="shared" si="544"/>
        <v>#DIV/0!</v>
      </c>
      <c r="AR523" s="176" t="e">
        <f t="shared" si="545"/>
        <v>#DIV/0!</v>
      </c>
      <c r="AS523" s="176" t="e">
        <f t="shared" si="546"/>
        <v>#DIV/0!</v>
      </c>
      <c r="AT523" s="176" t="e">
        <f t="shared" si="547"/>
        <v>#DIV/0!</v>
      </c>
      <c r="AU523" s="176" t="e">
        <f t="shared" si="548"/>
        <v>#DIV/0!</v>
      </c>
      <c r="AV523" s="176" t="e">
        <f t="shared" si="549"/>
        <v>#DIV/0!</v>
      </c>
      <c r="AW523" s="257"/>
    </row>
    <row r="524" spans="1:49" x14ac:dyDescent="0.25">
      <c r="A524" s="185">
        <v>3050157</v>
      </c>
      <c r="B524" s="259" t="s">
        <v>1294</v>
      </c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1"/>
      <c r="N524" s="261"/>
      <c r="O524" s="261">
        <f t="shared" si="553"/>
        <v>0</v>
      </c>
      <c r="P524" s="261"/>
      <c r="R524" s="185"/>
      <c r="S524" s="259"/>
      <c r="T524" s="261"/>
      <c r="U524" s="261"/>
      <c r="V524" s="261"/>
      <c r="W524" s="261">
        <v>0</v>
      </c>
      <c r="X524" s="261"/>
      <c r="Y524" s="261"/>
      <c r="Z524" s="261"/>
      <c r="AA524" s="261"/>
      <c r="AB524" s="261"/>
      <c r="AC524" s="261"/>
      <c r="AD524" s="261"/>
      <c r="AE524" s="261"/>
      <c r="AF524" s="261">
        <f t="shared" ref="AF524:AF555" si="554">+T524+U524+V524+W524</f>
        <v>0</v>
      </c>
      <c r="AG524" s="261">
        <f t="shared" ref="AG524:AG555" si="555">+T524+U524+V524+W524</f>
        <v>0</v>
      </c>
      <c r="AI524" s="176" t="e">
        <f t="shared" si="536"/>
        <v>#DIV/0!</v>
      </c>
      <c r="AJ524" s="176" t="e">
        <f t="shared" si="537"/>
        <v>#DIV/0!</v>
      </c>
      <c r="AK524" s="176" t="e">
        <f t="shared" si="538"/>
        <v>#DIV/0!</v>
      </c>
      <c r="AL524" s="176" t="e">
        <f t="shared" si="539"/>
        <v>#DIV/0!</v>
      </c>
      <c r="AM524" s="176" t="e">
        <f t="shared" si="540"/>
        <v>#DIV/0!</v>
      </c>
      <c r="AN524" s="176" t="e">
        <f t="shared" si="541"/>
        <v>#DIV/0!</v>
      </c>
      <c r="AO524" s="176" t="e">
        <f t="shared" si="542"/>
        <v>#DIV/0!</v>
      </c>
      <c r="AP524" s="176" t="e">
        <f t="shared" si="543"/>
        <v>#DIV/0!</v>
      </c>
      <c r="AQ524" s="176" t="e">
        <f t="shared" si="544"/>
        <v>#DIV/0!</v>
      </c>
      <c r="AR524" s="176" t="e">
        <f t="shared" si="545"/>
        <v>#DIV/0!</v>
      </c>
      <c r="AS524" s="176" t="e">
        <f t="shared" si="546"/>
        <v>#DIV/0!</v>
      </c>
      <c r="AT524" s="176" t="e">
        <f t="shared" si="547"/>
        <v>#DIV/0!</v>
      </c>
      <c r="AU524" s="176" t="e">
        <f t="shared" si="548"/>
        <v>#DIV/0!</v>
      </c>
      <c r="AV524" s="176" t="e">
        <f t="shared" si="549"/>
        <v>#DIV/0!</v>
      </c>
      <c r="AW524" s="257"/>
    </row>
    <row r="525" spans="1:49" x14ac:dyDescent="0.25">
      <c r="A525" s="185">
        <v>3050158</v>
      </c>
      <c r="B525" s="259" t="s">
        <v>1295</v>
      </c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261"/>
      <c r="N525" s="261"/>
      <c r="O525" s="261">
        <f t="shared" si="553"/>
        <v>0</v>
      </c>
      <c r="P525" s="261"/>
      <c r="R525" s="185"/>
      <c r="S525" s="259"/>
      <c r="T525" s="261"/>
      <c r="U525" s="261"/>
      <c r="V525" s="261"/>
      <c r="W525" s="261">
        <v>0</v>
      </c>
      <c r="X525" s="261"/>
      <c r="Y525" s="261"/>
      <c r="Z525" s="261"/>
      <c r="AA525" s="261"/>
      <c r="AB525" s="261"/>
      <c r="AC525" s="261"/>
      <c r="AD525" s="261"/>
      <c r="AE525" s="261"/>
      <c r="AF525" s="261">
        <f t="shared" si="554"/>
        <v>0</v>
      </c>
      <c r="AG525" s="261">
        <f t="shared" si="555"/>
        <v>0</v>
      </c>
      <c r="AI525" s="176" t="e">
        <f t="shared" si="536"/>
        <v>#DIV/0!</v>
      </c>
      <c r="AJ525" s="176" t="e">
        <f t="shared" si="537"/>
        <v>#DIV/0!</v>
      </c>
      <c r="AK525" s="176" t="e">
        <f t="shared" si="538"/>
        <v>#DIV/0!</v>
      </c>
      <c r="AL525" s="176" t="e">
        <f t="shared" si="539"/>
        <v>#DIV/0!</v>
      </c>
      <c r="AM525" s="176" t="e">
        <f t="shared" si="540"/>
        <v>#DIV/0!</v>
      </c>
      <c r="AN525" s="176" t="e">
        <f t="shared" si="541"/>
        <v>#DIV/0!</v>
      </c>
      <c r="AO525" s="176" t="e">
        <f t="shared" si="542"/>
        <v>#DIV/0!</v>
      </c>
      <c r="AP525" s="176" t="e">
        <f t="shared" si="543"/>
        <v>#DIV/0!</v>
      </c>
      <c r="AQ525" s="176" t="e">
        <f t="shared" si="544"/>
        <v>#DIV/0!</v>
      </c>
      <c r="AR525" s="176" t="e">
        <f t="shared" si="545"/>
        <v>#DIV/0!</v>
      </c>
      <c r="AS525" s="176" t="e">
        <f t="shared" si="546"/>
        <v>#DIV/0!</v>
      </c>
      <c r="AT525" s="176" t="e">
        <f t="shared" si="547"/>
        <v>#DIV/0!</v>
      </c>
      <c r="AU525" s="176" t="e">
        <f t="shared" si="548"/>
        <v>#DIV/0!</v>
      </c>
      <c r="AV525" s="176" t="e">
        <f t="shared" si="549"/>
        <v>#DIV/0!</v>
      </c>
      <c r="AW525" s="257"/>
    </row>
    <row r="526" spans="1:49" x14ac:dyDescent="0.25">
      <c r="A526" s="185">
        <v>3050159</v>
      </c>
      <c r="B526" s="259" t="s">
        <v>1296</v>
      </c>
      <c r="C526" s="261"/>
      <c r="D526" s="261"/>
      <c r="E526" s="261"/>
      <c r="F526" s="261"/>
      <c r="G526" s="261"/>
      <c r="H526" s="261"/>
      <c r="I526" s="261"/>
      <c r="J526" s="261"/>
      <c r="K526" s="261"/>
      <c r="L526" s="261"/>
      <c r="M526" s="261"/>
      <c r="N526" s="261"/>
      <c r="O526" s="261">
        <f t="shared" si="553"/>
        <v>0</v>
      </c>
      <c r="P526" s="261"/>
      <c r="R526" s="185"/>
      <c r="S526" s="259"/>
      <c r="T526" s="261"/>
      <c r="U526" s="261"/>
      <c r="V526" s="261"/>
      <c r="W526" s="261">
        <v>0</v>
      </c>
      <c r="X526" s="261"/>
      <c r="Y526" s="261"/>
      <c r="Z526" s="261"/>
      <c r="AA526" s="261"/>
      <c r="AB526" s="261"/>
      <c r="AC526" s="261"/>
      <c r="AD526" s="261"/>
      <c r="AE526" s="261"/>
      <c r="AF526" s="261">
        <f t="shared" si="554"/>
        <v>0</v>
      </c>
      <c r="AG526" s="261">
        <f t="shared" si="555"/>
        <v>0</v>
      </c>
      <c r="AI526" s="176" t="e">
        <f t="shared" si="536"/>
        <v>#DIV/0!</v>
      </c>
      <c r="AJ526" s="176" t="e">
        <f t="shared" si="537"/>
        <v>#DIV/0!</v>
      </c>
      <c r="AK526" s="176" t="e">
        <f t="shared" si="538"/>
        <v>#DIV/0!</v>
      </c>
      <c r="AL526" s="176" t="e">
        <f t="shared" si="539"/>
        <v>#DIV/0!</v>
      </c>
      <c r="AM526" s="176" t="e">
        <f t="shared" si="540"/>
        <v>#DIV/0!</v>
      </c>
      <c r="AN526" s="176" t="e">
        <f t="shared" si="541"/>
        <v>#DIV/0!</v>
      </c>
      <c r="AO526" s="176" t="e">
        <f t="shared" si="542"/>
        <v>#DIV/0!</v>
      </c>
      <c r="AP526" s="176" t="e">
        <f t="shared" si="543"/>
        <v>#DIV/0!</v>
      </c>
      <c r="AQ526" s="176" t="e">
        <f t="shared" si="544"/>
        <v>#DIV/0!</v>
      </c>
      <c r="AR526" s="176" t="e">
        <f t="shared" si="545"/>
        <v>#DIV/0!</v>
      </c>
      <c r="AS526" s="176" t="e">
        <f t="shared" si="546"/>
        <v>#DIV/0!</v>
      </c>
      <c r="AT526" s="176" t="e">
        <f t="shared" si="547"/>
        <v>#DIV/0!</v>
      </c>
      <c r="AU526" s="176" t="e">
        <f t="shared" si="548"/>
        <v>#DIV/0!</v>
      </c>
      <c r="AV526" s="176" t="e">
        <f t="shared" si="549"/>
        <v>#DIV/0!</v>
      </c>
      <c r="AW526" s="257"/>
    </row>
    <row r="527" spans="1:49" x14ac:dyDescent="0.25">
      <c r="A527" s="185">
        <v>3050160</v>
      </c>
      <c r="B527" s="259" t="s">
        <v>1297</v>
      </c>
      <c r="C527" s="261"/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>
        <f t="shared" si="553"/>
        <v>0</v>
      </c>
      <c r="P527" s="261"/>
      <c r="R527" s="185"/>
      <c r="S527" s="259"/>
      <c r="T527" s="261"/>
      <c r="U527" s="261"/>
      <c r="V527" s="261"/>
      <c r="W527" s="261">
        <v>0</v>
      </c>
      <c r="X527" s="261"/>
      <c r="Y527" s="261"/>
      <c r="Z527" s="261"/>
      <c r="AA527" s="261"/>
      <c r="AB527" s="261"/>
      <c r="AC527" s="261"/>
      <c r="AD527" s="261"/>
      <c r="AE527" s="261"/>
      <c r="AF527" s="261">
        <f t="shared" si="554"/>
        <v>0</v>
      </c>
      <c r="AG527" s="261">
        <f t="shared" si="555"/>
        <v>0</v>
      </c>
      <c r="AI527" s="176" t="e">
        <f t="shared" si="536"/>
        <v>#DIV/0!</v>
      </c>
      <c r="AJ527" s="176" t="e">
        <f t="shared" si="537"/>
        <v>#DIV/0!</v>
      </c>
      <c r="AK527" s="176" t="e">
        <f t="shared" si="538"/>
        <v>#DIV/0!</v>
      </c>
      <c r="AL527" s="176" t="e">
        <f t="shared" si="539"/>
        <v>#DIV/0!</v>
      </c>
      <c r="AM527" s="176" t="e">
        <f t="shared" si="540"/>
        <v>#DIV/0!</v>
      </c>
      <c r="AN527" s="176" t="e">
        <f t="shared" si="541"/>
        <v>#DIV/0!</v>
      </c>
      <c r="AO527" s="176" t="e">
        <f t="shared" si="542"/>
        <v>#DIV/0!</v>
      </c>
      <c r="AP527" s="176" t="e">
        <f t="shared" si="543"/>
        <v>#DIV/0!</v>
      </c>
      <c r="AQ527" s="176" t="e">
        <f t="shared" si="544"/>
        <v>#DIV/0!</v>
      </c>
      <c r="AR527" s="176" t="e">
        <f t="shared" si="545"/>
        <v>#DIV/0!</v>
      </c>
      <c r="AS527" s="176" t="e">
        <f t="shared" si="546"/>
        <v>#DIV/0!</v>
      </c>
      <c r="AT527" s="176" t="e">
        <f t="shared" si="547"/>
        <v>#DIV/0!</v>
      </c>
      <c r="AU527" s="176" t="e">
        <f t="shared" si="548"/>
        <v>#DIV/0!</v>
      </c>
      <c r="AV527" s="176" t="e">
        <f t="shared" si="549"/>
        <v>#DIV/0!</v>
      </c>
      <c r="AW527" s="257"/>
    </row>
    <row r="528" spans="1:49" x14ac:dyDescent="0.25">
      <c r="A528" s="185">
        <v>3050161</v>
      </c>
      <c r="B528" s="259" t="s">
        <v>1298</v>
      </c>
      <c r="C528" s="261"/>
      <c r="D528" s="261"/>
      <c r="E528" s="261"/>
      <c r="F528" s="261"/>
      <c r="G528" s="261"/>
      <c r="H528" s="261"/>
      <c r="I528" s="261"/>
      <c r="J528" s="261"/>
      <c r="K528" s="261"/>
      <c r="L528" s="261"/>
      <c r="M528" s="261"/>
      <c r="N528" s="261"/>
      <c r="O528" s="261">
        <f t="shared" si="553"/>
        <v>0</v>
      </c>
      <c r="P528" s="261"/>
      <c r="R528" s="185"/>
      <c r="S528" s="259"/>
      <c r="T528" s="261"/>
      <c r="U528" s="261"/>
      <c r="V528" s="261"/>
      <c r="W528" s="261">
        <v>0</v>
      </c>
      <c r="X528" s="261"/>
      <c r="Y528" s="261"/>
      <c r="Z528" s="261"/>
      <c r="AA528" s="261"/>
      <c r="AB528" s="261"/>
      <c r="AC528" s="261"/>
      <c r="AD528" s="261"/>
      <c r="AE528" s="261"/>
      <c r="AF528" s="261">
        <f t="shared" si="554"/>
        <v>0</v>
      </c>
      <c r="AG528" s="261">
        <f t="shared" si="555"/>
        <v>0</v>
      </c>
      <c r="AI528" s="176" t="e">
        <f t="shared" si="536"/>
        <v>#DIV/0!</v>
      </c>
      <c r="AJ528" s="176" t="e">
        <f t="shared" si="537"/>
        <v>#DIV/0!</v>
      </c>
      <c r="AK528" s="176" t="e">
        <f t="shared" si="538"/>
        <v>#DIV/0!</v>
      </c>
      <c r="AL528" s="176" t="e">
        <f t="shared" si="539"/>
        <v>#DIV/0!</v>
      </c>
      <c r="AM528" s="176" t="e">
        <f t="shared" si="540"/>
        <v>#DIV/0!</v>
      </c>
      <c r="AN528" s="176" t="e">
        <f t="shared" si="541"/>
        <v>#DIV/0!</v>
      </c>
      <c r="AO528" s="176" t="e">
        <f t="shared" si="542"/>
        <v>#DIV/0!</v>
      </c>
      <c r="AP528" s="176" t="e">
        <f t="shared" si="543"/>
        <v>#DIV/0!</v>
      </c>
      <c r="AQ528" s="176" t="e">
        <f t="shared" si="544"/>
        <v>#DIV/0!</v>
      </c>
      <c r="AR528" s="176" t="e">
        <f t="shared" si="545"/>
        <v>#DIV/0!</v>
      </c>
      <c r="AS528" s="176" t="e">
        <f t="shared" si="546"/>
        <v>#DIV/0!</v>
      </c>
      <c r="AT528" s="176" t="e">
        <f t="shared" si="547"/>
        <v>#DIV/0!</v>
      </c>
      <c r="AU528" s="176" t="e">
        <f t="shared" si="548"/>
        <v>#DIV/0!</v>
      </c>
      <c r="AV528" s="176" t="e">
        <f t="shared" si="549"/>
        <v>#DIV/0!</v>
      </c>
      <c r="AW528" s="257"/>
    </row>
    <row r="529" spans="1:49" x14ac:dyDescent="0.25">
      <c r="A529" s="185">
        <v>3050162</v>
      </c>
      <c r="B529" s="259" t="s">
        <v>1299</v>
      </c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>
        <f t="shared" si="553"/>
        <v>0</v>
      </c>
      <c r="P529" s="261"/>
      <c r="R529" s="185"/>
      <c r="S529" s="259"/>
      <c r="T529" s="261"/>
      <c r="U529" s="261"/>
      <c r="V529" s="261"/>
      <c r="W529" s="261">
        <v>0</v>
      </c>
      <c r="X529" s="261"/>
      <c r="Y529" s="261"/>
      <c r="Z529" s="261"/>
      <c r="AA529" s="261"/>
      <c r="AB529" s="261"/>
      <c r="AC529" s="261"/>
      <c r="AD529" s="261"/>
      <c r="AE529" s="261"/>
      <c r="AF529" s="261">
        <f t="shared" si="554"/>
        <v>0</v>
      </c>
      <c r="AG529" s="261">
        <f t="shared" si="555"/>
        <v>0</v>
      </c>
      <c r="AI529" s="176" t="e">
        <f t="shared" si="536"/>
        <v>#DIV/0!</v>
      </c>
      <c r="AJ529" s="176" t="e">
        <f t="shared" si="537"/>
        <v>#DIV/0!</v>
      </c>
      <c r="AK529" s="176" t="e">
        <f t="shared" si="538"/>
        <v>#DIV/0!</v>
      </c>
      <c r="AL529" s="176" t="e">
        <f t="shared" si="539"/>
        <v>#DIV/0!</v>
      </c>
      <c r="AM529" s="176" t="e">
        <f t="shared" si="540"/>
        <v>#DIV/0!</v>
      </c>
      <c r="AN529" s="176" t="e">
        <f t="shared" si="541"/>
        <v>#DIV/0!</v>
      </c>
      <c r="AO529" s="176" t="e">
        <f t="shared" si="542"/>
        <v>#DIV/0!</v>
      </c>
      <c r="AP529" s="176" t="e">
        <f t="shared" si="543"/>
        <v>#DIV/0!</v>
      </c>
      <c r="AQ529" s="176" t="e">
        <f t="shared" si="544"/>
        <v>#DIV/0!</v>
      </c>
      <c r="AR529" s="176" t="e">
        <f t="shared" si="545"/>
        <v>#DIV/0!</v>
      </c>
      <c r="AS529" s="176" t="e">
        <f t="shared" si="546"/>
        <v>#DIV/0!</v>
      </c>
      <c r="AT529" s="176" t="e">
        <f t="shared" si="547"/>
        <v>#DIV/0!</v>
      </c>
      <c r="AU529" s="176" t="e">
        <f t="shared" si="548"/>
        <v>#DIV/0!</v>
      </c>
      <c r="AV529" s="176" t="e">
        <f t="shared" si="549"/>
        <v>#DIV/0!</v>
      </c>
      <c r="AW529" s="257"/>
    </row>
    <row r="530" spans="1:49" x14ac:dyDescent="0.25">
      <c r="A530" s="185">
        <v>3050163</v>
      </c>
      <c r="B530" s="259" t="s">
        <v>1300</v>
      </c>
      <c r="C530" s="261"/>
      <c r="D530" s="261"/>
      <c r="E530" s="261"/>
      <c r="F530" s="261"/>
      <c r="G530" s="261"/>
      <c r="H530" s="261"/>
      <c r="I530" s="261"/>
      <c r="J530" s="261"/>
      <c r="K530" s="261"/>
      <c r="L530" s="261"/>
      <c r="M530" s="261"/>
      <c r="N530" s="261"/>
      <c r="O530" s="261">
        <f t="shared" si="553"/>
        <v>0</v>
      </c>
      <c r="P530" s="261"/>
      <c r="R530" s="185"/>
      <c r="S530" s="259"/>
      <c r="T530" s="261"/>
      <c r="U530" s="261"/>
      <c r="V530" s="261"/>
      <c r="W530" s="261">
        <v>0</v>
      </c>
      <c r="X530" s="261"/>
      <c r="Y530" s="261"/>
      <c r="Z530" s="261"/>
      <c r="AA530" s="261"/>
      <c r="AB530" s="261"/>
      <c r="AC530" s="261"/>
      <c r="AD530" s="261"/>
      <c r="AE530" s="261"/>
      <c r="AF530" s="261">
        <f t="shared" si="554"/>
        <v>0</v>
      </c>
      <c r="AG530" s="261">
        <f t="shared" si="555"/>
        <v>0</v>
      </c>
      <c r="AI530" s="176" t="e">
        <f t="shared" ref="AI530:AI569" si="556">(C530-T530)/C530</f>
        <v>#DIV/0!</v>
      </c>
      <c r="AJ530" s="176" t="e">
        <f t="shared" ref="AJ530:AJ569" si="557">(D530-U530)/D530</f>
        <v>#DIV/0!</v>
      </c>
      <c r="AK530" s="176" t="e">
        <f t="shared" ref="AK530:AK569" si="558">(E530-V530)/E530</f>
        <v>#DIV/0!</v>
      </c>
      <c r="AL530" s="176" t="e">
        <f t="shared" ref="AL530:AL569" si="559">(F530-W530)/F530</f>
        <v>#DIV/0!</v>
      </c>
      <c r="AM530" s="176" t="e">
        <f t="shared" ref="AM530:AM569" si="560">(G530-X530)/G530</f>
        <v>#DIV/0!</v>
      </c>
      <c r="AN530" s="176" t="e">
        <f t="shared" ref="AN530:AN569" si="561">(H530-Y530)/H530</f>
        <v>#DIV/0!</v>
      </c>
      <c r="AO530" s="176" t="e">
        <f t="shared" ref="AO530:AO569" si="562">(I530-Z530)/I530</f>
        <v>#DIV/0!</v>
      </c>
      <c r="AP530" s="176" t="e">
        <f t="shared" ref="AP530:AP569" si="563">(J530-AA530)/J530</f>
        <v>#DIV/0!</v>
      </c>
      <c r="AQ530" s="176" t="e">
        <f t="shared" ref="AQ530:AQ569" si="564">(K530-AB530)/K530</f>
        <v>#DIV/0!</v>
      </c>
      <c r="AR530" s="176" t="e">
        <f t="shared" ref="AR530:AR569" si="565">(L530-AC530)/L530</f>
        <v>#DIV/0!</v>
      </c>
      <c r="AS530" s="176" t="e">
        <f t="shared" ref="AS530:AS569" si="566">(M530-AD530)/M530</f>
        <v>#DIV/0!</v>
      </c>
      <c r="AT530" s="176" t="e">
        <f t="shared" ref="AT530:AT569" si="567">(N530-AE530)/N530</f>
        <v>#DIV/0!</v>
      </c>
      <c r="AU530" s="176" t="e">
        <f t="shared" ref="AU530:AU569" si="568">(O530-AF530)/O530</f>
        <v>#DIV/0!</v>
      </c>
      <c r="AV530" s="176" t="e">
        <f t="shared" ref="AV530:AV569" si="569">(P530-AG530)/P530</f>
        <v>#DIV/0!</v>
      </c>
      <c r="AW530" s="257"/>
    </row>
    <row r="531" spans="1:49" x14ac:dyDescent="0.25">
      <c r="A531" s="185">
        <v>3050164</v>
      </c>
      <c r="B531" s="259" t="s">
        <v>1301</v>
      </c>
      <c r="C531" s="261"/>
      <c r="D531" s="261"/>
      <c r="E531" s="261"/>
      <c r="F531" s="261"/>
      <c r="G531" s="261"/>
      <c r="H531" s="261"/>
      <c r="I531" s="261"/>
      <c r="J531" s="261"/>
      <c r="K531" s="261"/>
      <c r="L531" s="261"/>
      <c r="M531" s="261"/>
      <c r="N531" s="261"/>
      <c r="O531" s="261">
        <f t="shared" si="553"/>
        <v>0</v>
      </c>
      <c r="P531" s="261"/>
      <c r="R531" s="185"/>
      <c r="S531" s="259"/>
      <c r="T531" s="261"/>
      <c r="U531" s="261"/>
      <c r="V531" s="261"/>
      <c r="W531" s="261">
        <v>0</v>
      </c>
      <c r="X531" s="261"/>
      <c r="Y531" s="261"/>
      <c r="Z531" s="261"/>
      <c r="AA531" s="261"/>
      <c r="AB531" s="261"/>
      <c r="AC531" s="261"/>
      <c r="AD531" s="261"/>
      <c r="AE531" s="261"/>
      <c r="AF531" s="261">
        <f t="shared" si="554"/>
        <v>0</v>
      </c>
      <c r="AG531" s="261">
        <f t="shared" si="555"/>
        <v>0</v>
      </c>
      <c r="AI531" s="176" t="e">
        <f t="shared" si="556"/>
        <v>#DIV/0!</v>
      </c>
      <c r="AJ531" s="176" t="e">
        <f t="shared" si="557"/>
        <v>#DIV/0!</v>
      </c>
      <c r="AK531" s="176" t="e">
        <f t="shared" si="558"/>
        <v>#DIV/0!</v>
      </c>
      <c r="AL531" s="176" t="e">
        <f t="shared" si="559"/>
        <v>#DIV/0!</v>
      </c>
      <c r="AM531" s="176" t="e">
        <f t="shared" si="560"/>
        <v>#DIV/0!</v>
      </c>
      <c r="AN531" s="176" t="e">
        <f t="shared" si="561"/>
        <v>#DIV/0!</v>
      </c>
      <c r="AO531" s="176" t="e">
        <f t="shared" si="562"/>
        <v>#DIV/0!</v>
      </c>
      <c r="AP531" s="176" t="e">
        <f t="shared" si="563"/>
        <v>#DIV/0!</v>
      </c>
      <c r="AQ531" s="176" t="e">
        <f t="shared" si="564"/>
        <v>#DIV/0!</v>
      </c>
      <c r="AR531" s="176" t="e">
        <f t="shared" si="565"/>
        <v>#DIV/0!</v>
      </c>
      <c r="AS531" s="176" t="e">
        <f t="shared" si="566"/>
        <v>#DIV/0!</v>
      </c>
      <c r="AT531" s="176" t="e">
        <f t="shared" si="567"/>
        <v>#DIV/0!</v>
      </c>
      <c r="AU531" s="176" t="e">
        <f t="shared" si="568"/>
        <v>#DIV/0!</v>
      </c>
      <c r="AV531" s="176" t="e">
        <f t="shared" si="569"/>
        <v>#DIV/0!</v>
      </c>
      <c r="AW531" s="257"/>
    </row>
    <row r="532" spans="1:49" x14ac:dyDescent="0.25">
      <c r="A532" s="185">
        <v>3050165</v>
      </c>
      <c r="B532" s="259" t="s">
        <v>1302</v>
      </c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>
        <f t="shared" si="553"/>
        <v>0</v>
      </c>
      <c r="P532" s="261"/>
      <c r="R532" s="185"/>
      <c r="S532" s="259"/>
      <c r="T532" s="261"/>
      <c r="U532" s="261"/>
      <c r="V532" s="261"/>
      <c r="W532" s="261">
        <v>0</v>
      </c>
      <c r="X532" s="261"/>
      <c r="Y532" s="261"/>
      <c r="Z532" s="261"/>
      <c r="AA532" s="261"/>
      <c r="AB532" s="261"/>
      <c r="AC532" s="261"/>
      <c r="AD532" s="261"/>
      <c r="AE532" s="261"/>
      <c r="AF532" s="261">
        <f t="shared" si="554"/>
        <v>0</v>
      </c>
      <c r="AG532" s="261">
        <f t="shared" si="555"/>
        <v>0</v>
      </c>
      <c r="AI532" s="176" t="e">
        <f t="shared" si="556"/>
        <v>#DIV/0!</v>
      </c>
      <c r="AJ532" s="176" t="e">
        <f t="shared" si="557"/>
        <v>#DIV/0!</v>
      </c>
      <c r="AK532" s="176" t="e">
        <f t="shared" si="558"/>
        <v>#DIV/0!</v>
      </c>
      <c r="AL532" s="176" t="e">
        <f t="shared" si="559"/>
        <v>#DIV/0!</v>
      </c>
      <c r="AM532" s="176" t="e">
        <f t="shared" si="560"/>
        <v>#DIV/0!</v>
      </c>
      <c r="AN532" s="176" t="e">
        <f t="shared" si="561"/>
        <v>#DIV/0!</v>
      </c>
      <c r="AO532" s="176" t="e">
        <f t="shared" si="562"/>
        <v>#DIV/0!</v>
      </c>
      <c r="AP532" s="176" t="e">
        <f t="shared" si="563"/>
        <v>#DIV/0!</v>
      </c>
      <c r="AQ532" s="176" t="e">
        <f t="shared" si="564"/>
        <v>#DIV/0!</v>
      </c>
      <c r="AR532" s="176" t="e">
        <f t="shared" si="565"/>
        <v>#DIV/0!</v>
      </c>
      <c r="AS532" s="176" t="e">
        <f t="shared" si="566"/>
        <v>#DIV/0!</v>
      </c>
      <c r="AT532" s="176" t="e">
        <f t="shared" si="567"/>
        <v>#DIV/0!</v>
      </c>
      <c r="AU532" s="176" t="e">
        <f t="shared" si="568"/>
        <v>#DIV/0!</v>
      </c>
      <c r="AV532" s="176" t="e">
        <f t="shared" si="569"/>
        <v>#DIV/0!</v>
      </c>
      <c r="AW532" s="257"/>
    </row>
    <row r="533" spans="1:49" x14ac:dyDescent="0.25">
      <c r="A533" s="185">
        <v>3050166</v>
      </c>
      <c r="B533" s="259" t="s">
        <v>1303</v>
      </c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>
        <f t="shared" si="553"/>
        <v>0</v>
      </c>
      <c r="P533" s="261"/>
      <c r="R533" s="185"/>
      <c r="S533" s="259"/>
      <c r="T533" s="261"/>
      <c r="U533" s="261"/>
      <c r="V533" s="261"/>
      <c r="W533" s="261">
        <v>0</v>
      </c>
      <c r="X533" s="261"/>
      <c r="Y533" s="261"/>
      <c r="Z533" s="261"/>
      <c r="AA533" s="261"/>
      <c r="AB533" s="261"/>
      <c r="AC533" s="261"/>
      <c r="AD533" s="261"/>
      <c r="AE533" s="261"/>
      <c r="AF533" s="261">
        <f t="shared" si="554"/>
        <v>0</v>
      </c>
      <c r="AG533" s="261">
        <f t="shared" si="555"/>
        <v>0</v>
      </c>
      <c r="AI533" s="176" t="e">
        <f t="shared" si="556"/>
        <v>#DIV/0!</v>
      </c>
      <c r="AJ533" s="176" t="e">
        <f t="shared" si="557"/>
        <v>#DIV/0!</v>
      </c>
      <c r="AK533" s="176" t="e">
        <f t="shared" si="558"/>
        <v>#DIV/0!</v>
      </c>
      <c r="AL533" s="176" t="e">
        <f t="shared" si="559"/>
        <v>#DIV/0!</v>
      </c>
      <c r="AM533" s="176" t="e">
        <f t="shared" si="560"/>
        <v>#DIV/0!</v>
      </c>
      <c r="AN533" s="176" t="e">
        <f t="shared" si="561"/>
        <v>#DIV/0!</v>
      </c>
      <c r="AO533" s="176" t="e">
        <f t="shared" si="562"/>
        <v>#DIV/0!</v>
      </c>
      <c r="AP533" s="176" t="e">
        <f t="shared" si="563"/>
        <v>#DIV/0!</v>
      </c>
      <c r="AQ533" s="176" t="e">
        <f t="shared" si="564"/>
        <v>#DIV/0!</v>
      </c>
      <c r="AR533" s="176" t="e">
        <f t="shared" si="565"/>
        <v>#DIV/0!</v>
      </c>
      <c r="AS533" s="176" t="e">
        <f t="shared" si="566"/>
        <v>#DIV/0!</v>
      </c>
      <c r="AT533" s="176" t="e">
        <f t="shared" si="567"/>
        <v>#DIV/0!</v>
      </c>
      <c r="AU533" s="176" t="e">
        <f t="shared" si="568"/>
        <v>#DIV/0!</v>
      </c>
      <c r="AV533" s="176" t="e">
        <f t="shared" si="569"/>
        <v>#DIV/0!</v>
      </c>
      <c r="AW533" s="257"/>
    </row>
    <row r="534" spans="1:49" x14ac:dyDescent="0.25">
      <c r="A534" s="185">
        <v>3050167</v>
      </c>
      <c r="B534" s="259" t="s">
        <v>1304</v>
      </c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>
        <f t="shared" si="553"/>
        <v>0</v>
      </c>
      <c r="P534" s="261"/>
      <c r="R534" s="185"/>
      <c r="S534" s="259"/>
      <c r="T534" s="261"/>
      <c r="U534" s="261"/>
      <c r="V534" s="261"/>
      <c r="W534" s="261">
        <v>0</v>
      </c>
      <c r="X534" s="261"/>
      <c r="Y534" s="261"/>
      <c r="Z534" s="261"/>
      <c r="AA534" s="261"/>
      <c r="AB534" s="261"/>
      <c r="AC534" s="261"/>
      <c r="AD534" s="261"/>
      <c r="AE534" s="261"/>
      <c r="AF534" s="261">
        <f t="shared" si="554"/>
        <v>0</v>
      </c>
      <c r="AG534" s="261">
        <f t="shared" si="555"/>
        <v>0</v>
      </c>
      <c r="AI534" s="176" t="e">
        <f t="shared" si="556"/>
        <v>#DIV/0!</v>
      </c>
      <c r="AJ534" s="176" t="e">
        <f t="shared" si="557"/>
        <v>#DIV/0!</v>
      </c>
      <c r="AK534" s="176" t="e">
        <f t="shared" si="558"/>
        <v>#DIV/0!</v>
      </c>
      <c r="AL534" s="176" t="e">
        <f t="shared" si="559"/>
        <v>#DIV/0!</v>
      </c>
      <c r="AM534" s="176" t="e">
        <f t="shared" si="560"/>
        <v>#DIV/0!</v>
      </c>
      <c r="AN534" s="176" t="e">
        <f t="shared" si="561"/>
        <v>#DIV/0!</v>
      </c>
      <c r="AO534" s="176" t="e">
        <f t="shared" si="562"/>
        <v>#DIV/0!</v>
      </c>
      <c r="AP534" s="176" t="e">
        <f t="shared" si="563"/>
        <v>#DIV/0!</v>
      </c>
      <c r="AQ534" s="176" t="e">
        <f t="shared" si="564"/>
        <v>#DIV/0!</v>
      </c>
      <c r="AR534" s="176" t="e">
        <f t="shared" si="565"/>
        <v>#DIV/0!</v>
      </c>
      <c r="AS534" s="176" t="e">
        <f t="shared" si="566"/>
        <v>#DIV/0!</v>
      </c>
      <c r="AT534" s="176" t="e">
        <f t="shared" si="567"/>
        <v>#DIV/0!</v>
      </c>
      <c r="AU534" s="176" t="e">
        <f t="shared" si="568"/>
        <v>#DIV/0!</v>
      </c>
      <c r="AV534" s="176" t="e">
        <f t="shared" si="569"/>
        <v>#DIV/0!</v>
      </c>
      <c r="AW534" s="257"/>
    </row>
    <row r="535" spans="1:49" x14ac:dyDescent="0.25">
      <c r="A535" s="185">
        <v>3050168</v>
      </c>
      <c r="B535" s="259" t="s">
        <v>1305</v>
      </c>
      <c r="C535" s="261"/>
      <c r="D535" s="261"/>
      <c r="E535" s="261"/>
      <c r="F535" s="261"/>
      <c r="G535" s="261"/>
      <c r="H535" s="261"/>
      <c r="I535" s="261"/>
      <c r="J535" s="261"/>
      <c r="K535" s="261"/>
      <c r="L535" s="261"/>
      <c r="M535" s="261"/>
      <c r="N535" s="261"/>
      <c r="O535" s="261">
        <f t="shared" si="553"/>
        <v>0</v>
      </c>
      <c r="P535" s="261"/>
      <c r="R535" s="185"/>
      <c r="S535" s="259"/>
      <c r="T535" s="261"/>
      <c r="U535" s="261"/>
      <c r="V535" s="261"/>
      <c r="W535" s="261">
        <v>0</v>
      </c>
      <c r="X535" s="261"/>
      <c r="Y535" s="261"/>
      <c r="Z535" s="261"/>
      <c r="AA535" s="261"/>
      <c r="AB535" s="261"/>
      <c r="AC535" s="261"/>
      <c r="AD535" s="261"/>
      <c r="AE535" s="261"/>
      <c r="AF535" s="261">
        <f t="shared" si="554"/>
        <v>0</v>
      </c>
      <c r="AG535" s="261">
        <f t="shared" si="555"/>
        <v>0</v>
      </c>
      <c r="AI535" s="176" t="e">
        <f t="shared" si="556"/>
        <v>#DIV/0!</v>
      </c>
      <c r="AJ535" s="176" t="e">
        <f t="shared" si="557"/>
        <v>#DIV/0!</v>
      </c>
      <c r="AK535" s="176" t="e">
        <f t="shared" si="558"/>
        <v>#DIV/0!</v>
      </c>
      <c r="AL535" s="176" t="e">
        <f t="shared" si="559"/>
        <v>#DIV/0!</v>
      </c>
      <c r="AM535" s="176" t="e">
        <f t="shared" si="560"/>
        <v>#DIV/0!</v>
      </c>
      <c r="AN535" s="176" t="e">
        <f t="shared" si="561"/>
        <v>#DIV/0!</v>
      </c>
      <c r="AO535" s="176" t="e">
        <f t="shared" si="562"/>
        <v>#DIV/0!</v>
      </c>
      <c r="AP535" s="176" t="e">
        <f t="shared" si="563"/>
        <v>#DIV/0!</v>
      </c>
      <c r="AQ535" s="176" t="e">
        <f t="shared" si="564"/>
        <v>#DIV/0!</v>
      </c>
      <c r="AR535" s="176" t="e">
        <f t="shared" si="565"/>
        <v>#DIV/0!</v>
      </c>
      <c r="AS535" s="176" t="e">
        <f t="shared" si="566"/>
        <v>#DIV/0!</v>
      </c>
      <c r="AT535" s="176" t="e">
        <f t="shared" si="567"/>
        <v>#DIV/0!</v>
      </c>
      <c r="AU535" s="176" t="e">
        <f t="shared" si="568"/>
        <v>#DIV/0!</v>
      </c>
      <c r="AV535" s="176" t="e">
        <f t="shared" si="569"/>
        <v>#DIV/0!</v>
      </c>
      <c r="AW535" s="257"/>
    </row>
    <row r="536" spans="1:49" x14ac:dyDescent="0.25">
      <c r="A536" s="185">
        <v>3050169</v>
      </c>
      <c r="B536" s="259" t="s">
        <v>1306</v>
      </c>
      <c r="C536" s="261"/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1">
        <f t="shared" si="553"/>
        <v>0</v>
      </c>
      <c r="P536" s="261"/>
      <c r="R536" s="185"/>
      <c r="S536" s="259"/>
      <c r="T536" s="261"/>
      <c r="U536" s="261"/>
      <c r="V536" s="261"/>
      <c r="W536" s="261">
        <v>0</v>
      </c>
      <c r="X536" s="261"/>
      <c r="Y536" s="261"/>
      <c r="Z536" s="261"/>
      <c r="AA536" s="261"/>
      <c r="AB536" s="261"/>
      <c r="AC536" s="261"/>
      <c r="AD536" s="261"/>
      <c r="AE536" s="261"/>
      <c r="AF536" s="261">
        <f t="shared" si="554"/>
        <v>0</v>
      </c>
      <c r="AG536" s="261">
        <f t="shared" si="555"/>
        <v>0</v>
      </c>
      <c r="AI536" s="176" t="e">
        <f t="shared" si="556"/>
        <v>#DIV/0!</v>
      </c>
      <c r="AJ536" s="176" t="e">
        <f t="shared" si="557"/>
        <v>#DIV/0!</v>
      </c>
      <c r="AK536" s="176" t="e">
        <f t="shared" si="558"/>
        <v>#DIV/0!</v>
      </c>
      <c r="AL536" s="176" t="e">
        <f t="shared" si="559"/>
        <v>#DIV/0!</v>
      </c>
      <c r="AM536" s="176" t="e">
        <f t="shared" si="560"/>
        <v>#DIV/0!</v>
      </c>
      <c r="AN536" s="176" t="e">
        <f t="shared" si="561"/>
        <v>#DIV/0!</v>
      </c>
      <c r="AO536" s="176" t="e">
        <f t="shared" si="562"/>
        <v>#DIV/0!</v>
      </c>
      <c r="AP536" s="176" t="e">
        <f t="shared" si="563"/>
        <v>#DIV/0!</v>
      </c>
      <c r="AQ536" s="176" t="e">
        <f t="shared" si="564"/>
        <v>#DIV/0!</v>
      </c>
      <c r="AR536" s="176" t="e">
        <f t="shared" si="565"/>
        <v>#DIV/0!</v>
      </c>
      <c r="AS536" s="176" t="e">
        <f t="shared" si="566"/>
        <v>#DIV/0!</v>
      </c>
      <c r="AT536" s="176" t="e">
        <f t="shared" si="567"/>
        <v>#DIV/0!</v>
      </c>
      <c r="AU536" s="176" t="e">
        <f t="shared" si="568"/>
        <v>#DIV/0!</v>
      </c>
      <c r="AV536" s="176" t="e">
        <f t="shared" si="569"/>
        <v>#DIV/0!</v>
      </c>
      <c r="AW536" s="257"/>
    </row>
    <row r="537" spans="1:49" x14ac:dyDescent="0.25">
      <c r="A537" s="185">
        <v>3050170</v>
      </c>
      <c r="B537" s="259" t="s">
        <v>1307</v>
      </c>
      <c r="C537" s="261"/>
      <c r="D537" s="261"/>
      <c r="E537" s="261"/>
      <c r="F537" s="261"/>
      <c r="G537" s="261"/>
      <c r="H537" s="261"/>
      <c r="I537" s="261"/>
      <c r="J537" s="261"/>
      <c r="K537" s="261"/>
      <c r="L537" s="261"/>
      <c r="M537" s="261"/>
      <c r="N537" s="261"/>
      <c r="O537" s="261">
        <f t="shared" si="553"/>
        <v>0</v>
      </c>
      <c r="P537" s="261"/>
      <c r="R537" s="185"/>
      <c r="S537" s="259"/>
      <c r="T537" s="261"/>
      <c r="U537" s="261"/>
      <c r="V537" s="261"/>
      <c r="W537" s="261">
        <v>0</v>
      </c>
      <c r="X537" s="261"/>
      <c r="Y537" s="261"/>
      <c r="Z537" s="261"/>
      <c r="AA537" s="261"/>
      <c r="AB537" s="261"/>
      <c r="AC537" s="261"/>
      <c r="AD537" s="261"/>
      <c r="AE537" s="261"/>
      <c r="AF537" s="261">
        <f t="shared" si="554"/>
        <v>0</v>
      </c>
      <c r="AG537" s="261">
        <f t="shared" si="555"/>
        <v>0</v>
      </c>
      <c r="AI537" s="176" t="e">
        <f t="shared" si="556"/>
        <v>#DIV/0!</v>
      </c>
      <c r="AJ537" s="176" t="e">
        <f t="shared" si="557"/>
        <v>#DIV/0!</v>
      </c>
      <c r="AK537" s="176" t="e">
        <f t="shared" si="558"/>
        <v>#DIV/0!</v>
      </c>
      <c r="AL537" s="176" t="e">
        <f t="shared" si="559"/>
        <v>#DIV/0!</v>
      </c>
      <c r="AM537" s="176" t="e">
        <f t="shared" si="560"/>
        <v>#DIV/0!</v>
      </c>
      <c r="AN537" s="176" t="e">
        <f t="shared" si="561"/>
        <v>#DIV/0!</v>
      </c>
      <c r="AO537" s="176" t="e">
        <f t="shared" si="562"/>
        <v>#DIV/0!</v>
      </c>
      <c r="AP537" s="176" t="e">
        <f t="shared" si="563"/>
        <v>#DIV/0!</v>
      </c>
      <c r="AQ537" s="176" t="e">
        <f t="shared" si="564"/>
        <v>#DIV/0!</v>
      </c>
      <c r="AR537" s="176" t="e">
        <f t="shared" si="565"/>
        <v>#DIV/0!</v>
      </c>
      <c r="AS537" s="176" t="e">
        <f t="shared" si="566"/>
        <v>#DIV/0!</v>
      </c>
      <c r="AT537" s="176" t="e">
        <f t="shared" si="567"/>
        <v>#DIV/0!</v>
      </c>
      <c r="AU537" s="176" t="e">
        <f t="shared" si="568"/>
        <v>#DIV/0!</v>
      </c>
      <c r="AV537" s="176" t="e">
        <f t="shared" si="569"/>
        <v>#DIV/0!</v>
      </c>
      <c r="AW537" s="257"/>
    </row>
    <row r="538" spans="1:49" x14ac:dyDescent="0.25">
      <c r="A538" s="185">
        <v>3050171</v>
      </c>
      <c r="B538" s="259" t="s">
        <v>1308</v>
      </c>
      <c r="C538" s="261"/>
      <c r="D538" s="261"/>
      <c r="E538" s="261"/>
      <c r="F538" s="261"/>
      <c r="G538" s="261"/>
      <c r="H538" s="261"/>
      <c r="I538" s="261"/>
      <c r="J538" s="261"/>
      <c r="K538" s="261"/>
      <c r="L538" s="261"/>
      <c r="M538" s="261"/>
      <c r="N538" s="261"/>
      <c r="O538" s="261">
        <f t="shared" si="553"/>
        <v>0</v>
      </c>
      <c r="P538" s="261"/>
      <c r="R538" s="185"/>
      <c r="S538" s="259"/>
      <c r="T538" s="261"/>
      <c r="U538" s="261"/>
      <c r="V538" s="261"/>
      <c r="W538" s="6">
        <v>0</v>
      </c>
      <c r="X538" s="261"/>
      <c r="Y538" s="261"/>
      <c r="Z538" s="261"/>
      <c r="AA538" s="261"/>
      <c r="AB538" s="261"/>
      <c r="AC538" s="261"/>
      <c r="AD538" s="261"/>
      <c r="AE538" s="261"/>
      <c r="AF538" s="6">
        <f t="shared" si="554"/>
        <v>0</v>
      </c>
      <c r="AG538" s="261">
        <f t="shared" si="555"/>
        <v>0</v>
      </c>
      <c r="AI538" s="176" t="e">
        <f t="shared" si="556"/>
        <v>#DIV/0!</v>
      </c>
      <c r="AJ538" s="176" t="e">
        <f t="shared" si="557"/>
        <v>#DIV/0!</v>
      </c>
      <c r="AK538" s="176" t="e">
        <f t="shared" si="558"/>
        <v>#DIV/0!</v>
      </c>
      <c r="AL538" s="176" t="e">
        <f t="shared" si="559"/>
        <v>#DIV/0!</v>
      </c>
      <c r="AM538" s="176" t="e">
        <f t="shared" si="560"/>
        <v>#DIV/0!</v>
      </c>
      <c r="AN538" s="176" t="e">
        <f t="shared" si="561"/>
        <v>#DIV/0!</v>
      </c>
      <c r="AO538" s="176" t="e">
        <f t="shared" si="562"/>
        <v>#DIV/0!</v>
      </c>
      <c r="AP538" s="176" t="e">
        <f t="shared" si="563"/>
        <v>#DIV/0!</v>
      </c>
      <c r="AQ538" s="176" t="e">
        <f t="shared" si="564"/>
        <v>#DIV/0!</v>
      </c>
      <c r="AR538" s="176" t="e">
        <f t="shared" si="565"/>
        <v>#DIV/0!</v>
      </c>
      <c r="AS538" s="176" t="e">
        <f t="shared" si="566"/>
        <v>#DIV/0!</v>
      </c>
      <c r="AT538" s="176" t="e">
        <f t="shared" si="567"/>
        <v>#DIV/0!</v>
      </c>
      <c r="AU538" s="176" t="e">
        <f t="shared" si="568"/>
        <v>#DIV/0!</v>
      </c>
      <c r="AV538" s="176" t="e">
        <f t="shared" si="569"/>
        <v>#DIV/0!</v>
      </c>
      <c r="AW538" s="257"/>
    </row>
    <row r="539" spans="1:49" x14ac:dyDescent="0.25">
      <c r="A539" s="185">
        <v>3050172</v>
      </c>
      <c r="B539" s="259" t="s">
        <v>1309</v>
      </c>
      <c r="C539" s="261"/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1"/>
      <c r="O539" s="261">
        <f t="shared" si="553"/>
        <v>0</v>
      </c>
      <c r="P539" s="261"/>
      <c r="R539" s="185"/>
      <c r="S539" s="259"/>
      <c r="T539" s="261"/>
      <c r="U539" s="261"/>
      <c r="V539" s="261"/>
      <c r="W539" s="6">
        <v>0</v>
      </c>
      <c r="X539" s="261"/>
      <c r="Y539" s="261"/>
      <c r="Z539" s="261"/>
      <c r="AA539" s="261"/>
      <c r="AB539" s="261"/>
      <c r="AC539" s="261"/>
      <c r="AD539" s="261"/>
      <c r="AE539" s="261"/>
      <c r="AF539" s="6">
        <f t="shared" si="554"/>
        <v>0</v>
      </c>
      <c r="AG539" s="261">
        <f t="shared" si="555"/>
        <v>0</v>
      </c>
      <c r="AI539" s="176" t="e">
        <f t="shared" si="556"/>
        <v>#DIV/0!</v>
      </c>
      <c r="AJ539" s="176" t="e">
        <f t="shared" si="557"/>
        <v>#DIV/0!</v>
      </c>
      <c r="AK539" s="176" t="e">
        <f t="shared" si="558"/>
        <v>#DIV/0!</v>
      </c>
      <c r="AL539" s="176" t="e">
        <f t="shared" si="559"/>
        <v>#DIV/0!</v>
      </c>
      <c r="AM539" s="176" t="e">
        <f t="shared" si="560"/>
        <v>#DIV/0!</v>
      </c>
      <c r="AN539" s="176" t="e">
        <f t="shared" si="561"/>
        <v>#DIV/0!</v>
      </c>
      <c r="AO539" s="176" t="e">
        <f t="shared" si="562"/>
        <v>#DIV/0!</v>
      </c>
      <c r="AP539" s="176" t="e">
        <f t="shared" si="563"/>
        <v>#DIV/0!</v>
      </c>
      <c r="AQ539" s="176" t="e">
        <f t="shared" si="564"/>
        <v>#DIV/0!</v>
      </c>
      <c r="AR539" s="176" t="e">
        <f t="shared" si="565"/>
        <v>#DIV/0!</v>
      </c>
      <c r="AS539" s="176" t="e">
        <f t="shared" si="566"/>
        <v>#DIV/0!</v>
      </c>
      <c r="AT539" s="176" t="e">
        <f t="shared" si="567"/>
        <v>#DIV/0!</v>
      </c>
      <c r="AU539" s="176" t="e">
        <f t="shared" si="568"/>
        <v>#DIV/0!</v>
      </c>
      <c r="AV539" s="176" t="e">
        <f t="shared" si="569"/>
        <v>#DIV/0!</v>
      </c>
      <c r="AW539" s="257"/>
    </row>
    <row r="540" spans="1:49" x14ac:dyDescent="0.25">
      <c r="A540" s="185">
        <v>3050173</v>
      </c>
      <c r="B540" s="259" t="s">
        <v>1310</v>
      </c>
      <c r="C540" s="261"/>
      <c r="D540" s="261"/>
      <c r="E540" s="261"/>
      <c r="F540" s="261"/>
      <c r="G540" s="261"/>
      <c r="H540" s="261"/>
      <c r="I540" s="261"/>
      <c r="J540" s="261"/>
      <c r="K540" s="261"/>
      <c r="L540" s="261"/>
      <c r="M540" s="261"/>
      <c r="N540" s="261"/>
      <c r="O540" s="261">
        <f t="shared" si="553"/>
        <v>0</v>
      </c>
      <c r="P540" s="261"/>
      <c r="R540" s="185"/>
      <c r="S540" s="259"/>
      <c r="T540" s="261"/>
      <c r="U540" s="261"/>
      <c r="V540" s="261"/>
      <c r="W540" s="261">
        <v>0</v>
      </c>
      <c r="X540" s="261"/>
      <c r="Y540" s="261"/>
      <c r="Z540" s="261"/>
      <c r="AA540" s="261"/>
      <c r="AB540" s="261"/>
      <c r="AC540" s="261"/>
      <c r="AD540" s="261"/>
      <c r="AE540" s="261"/>
      <c r="AF540" s="261">
        <f t="shared" si="554"/>
        <v>0</v>
      </c>
      <c r="AG540" s="261">
        <f t="shared" si="555"/>
        <v>0</v>
      </c>
      <c r="AI540" s="176" t="e">
        <f t="shared" si="556"/>
        <v>#DIV/0!</v>
      </c>
      <c r="AJ540" s="176" t="e">
        <f t="shared" si="557"/>
        <v>#DIV/0!</v>
      </c>
      <c r="AK540" s="176" t="e">
        <f t="shared" si="558"/>
        <v>#DIV/0!</v>
      </c>
      <c r="AL540" s="176" t="e">
        <f t="shared" si="559"/>
        <v>#DIV/0!</v>
      </c>
      <c r="AM540" s="176" t="e">
        <f t="shared" si="560"/>
        <v>#DIV/0!</v>
      </c>
      <c r="AN540" s="176" t="e">
        <f t="shared" si="561"/>
        <v>#DIV/0!</v>
      </c>
      <c r="AO540" s="176" t="e">
        <f t="shared" si="562"/>
        <v>#DIV/0!</v>
      </c>
      <c r="AP540" s="176" t="e">
        <f t="shared" si="563"/>
        <v>#DIV/0!</v>
      </c>
      <c r="AQ540" s="176" t="e">
        <f t="shared" si="564"/>
        <v>#DIV/0!</v>
      </c>
      <c r="AR540" s="176" t="e">
        <f t="shared" si="565"/>
        <v>#DIV/0!</v>
      </c>
      <c r="AS540" s="176" t="e">
        <f t="shared" si="566"/>
        <v>#DIV/0!</v>
      </c>
      <c r="AT540" s="176" t="e">
        <f t="shared" si="567"/>
        <v>#DIV/0!</v>
      </c>
      <c r="AU540" s="176" t="e">
        <f t="shared" si="568"/>
        <v>#DIV/0!</v>
      </c>
      <c r="AV540" s="176" t="e">
        <f t="shared" si="569"/>
        <v>#DIV/0!</v>
      </c>
      <c r="AW540" s="181"/>
    </row>
    <row r="541" spans="1:49" x14ac:dyDescent="0.25">
      <c r="A541" s="185">
        <v>3050174</v>
      </c>
      <c r="B541" s="259" t="s">
        <v>1311</v>
      </c>
      <c r="C541" s="261"/>
      <c r="D541" s="261"/>
      <c r="E541" s="261"/>
      <c r="F541" s="261"/>
      <c r="G541" s="261"/>
      <c r="H541" s="261"/>
      <c r="I541" s="261"/>
      <c r="J541" s="261"/>
      <c r="K541" s="261"/>
      <c r="L541" s="261"/>
      <c r="M541" s="261"/>
      <c r="N541" s="261"/>
      <c r="O541" s="261">
        <f t="shared" si="553"/>
        <v>0</v>
      </c>
      <c r="P541" s="261"/>
      <c r="R541" s="185"/>
      <c r="S541" s="259"/>
      <c r="T541" s="261"/>
      <c r="U541" s="261"/>
      <c r="V541" s="261"/>
      <c r="W541" s="261">
        <v>0</v>
      </c>
      <c r="X541" s="261"/>
      <c r="Y541" s="261"/>
      <c r="Z541" s="261"/>
      <c r="AA541" s="261"/>
      <c r="AB541" s="261"/>
      <c r="AC541" s="261"/>
      <c r="AD541" s="261"/>
      <c r="AE541" s="261"/>
      <c r="AF541" s="261">
        <f t="shared" si="554"/>
        <v>0</v>
      </c>
      <c r="AG541" s="261">
        <f t="shared" si="555"/>
        <v>0</v>
      </c>
      <c r="AI541" s="176" t="e">
        <f t="shared" si="556"/>
        <v>#DIV/0!</v>
      </c>
      <c r="AJ541" s="176" t="e">
        <f t="shared" si="557"/>
        <v>#DIV/0!</v>
      </c>
      <c r="AK541" s="176" t="e">
        <f t="shared" si="558"/>
        <v>#DIV/0!</v>
      </c>
      <c r="AL541" s="176" t="e">
        <f t="shared" si="559"/>
        <v>#DIV/0!</v>
      </c>
      <c r="AM541" s="176" t="e">
        <f t="shared" si="560"/>
        <v>#DIV/0!</v>
      </c>
      <c r="AN541" s="176" t="e">
        <f t="shared" si="561"/>
        <v>#DIV/0!</v>
      </c>
      <c r="AO541" s="176" t="e">
        <f t="shared" si="562"/>
        <v>#DIV/0!</v>
      </c>
      <c r="AP541" s="176" t="e">
        <f t="shared" si="563"/>
        <v>#DIV/0!</v>
      </c>
      <c r="AQ541" s="176" t="e">
        <f t="shared" si="564"/>
        <v>#DIV/0!</v>
      </c>
      <c r="AR541" s="176" t="e">
        <f t="shared" si="565"/>
        <v>#DIV/0!</v>
      </c>
      <c r="AS541" s="176" t="e">
        <f t="shared" si="566"/>
        <v>#DIV/0!</v>
      </c>
      <c r="AT541" s="176" t="e">
        <f t="shared" si="567"/>
        <v>#DIV/0!</v>
      </c>
      <c r="AU541" s="176" t="e">
        <f t="shared" si="568"/>
        <v>#DIV/0!</v>
      </c>
      <c r="AV541" s="176" t="e">
        <f t="shared" si="569"/>
        <v>#DIV/0!</v>
      </c>
      <c r="AW541" s="181"/>
    </row>
    <row r="542" spans="1:49" x14ac:dyDescent="0.25">
      <c r="A542" s="185">
        <v>3050175</v>
      </c>
      <c r="B542" s="259" t="s">
        <v>1312</v>
      </c>
      <c r="C542" s="261"/>
      <c r="D542" s="261"/>
      <c r="E542" s="261"/>
      <c r="F542" s="261"/>
      <c r="G542" s="261"/>
      <c r="H542" s="261"/>
      <c r="I542" s="261"/>
      <c r="J542" s="261"/>
      <c r="K542" s="261"/>
      <c r="L542" s="261"/>
      <c r="M542" s="261"/>
      <c r="N542" s="261"/>
      <c r="O542" s="261">
        <f t="shared" si="553"/>
        <v>0</v>
      </c>
      <c r="P542" s="261"/>
      <c r="R542" s="185"/>
      <c r="S542" s="259"/>
      <c r="T542" s="261"/>
      <c r="U542" s="261"/>
      <c r="V542" s="261"/>
      <c r="W542" s="261">
        <v>0</v>
      </c>
      <c r="X542" s="261"/>
      <c r="Y542" s="261"/>
      <c r="Z542" s="261"/>
      <c r="AA542" s="261"/>
      <c r="AB542" s="261"/>
      <c r="AC542" s="261"/>
      <c r="AD542" s="261"/>
      <c r="AE542" s="261"/>
      <c r="AF542" s="261">
        <f t="shared" si="554"/>
        <v>0</v>
      </c>
      <c r="AG542" s="261">
        <f t="shared" si="555"/>
        <v>0</v>
      </c>
      <c r="AI542" s="176" t="e">
        <f t="shared" si="556"/>
        <v>#DIV/0!</v>
      </c>
      <c r="AJ542" s="176" t="e">
        <f t="shared" si="557"/>
        <v>#DIV/0!</v>
      </c>
      <c r="AK542" s="176" t="e">
        <f t="shared" si="558"/>
        <v>#DIV/0!</v>
      </c>
      <c r="AL542" s="176" t="e">
        <f t="shared" si="559"/>
        <v>#DIV/0!</v>
      </c>
      <c r="AM542" s="176" t="e">
        <f t="shared" si="560"/>
        <v>#DIV/0!</v>
      </c>
      <c r="AN542" s="176" t="e">
        <f t="shared" si="561"/>
        <v>#DIV/0!</v>
      </c>
      <c r="AO542" s="176" t="e">
        <f t="shared" si="562"/>
        <v>#DIV/0!</v>
      </c>
      <c r="AP542" s="176" t="e">
        <f t="shared" si="563"/>
        <v>#DIV/0!</v>
      </c>
      <c r="AQ542" s="176" t="e">
        <f t="shared" si="564"/>
        <v>#DIV/0!</v>
      </c>
      <c r="AR542" s="176" t="e">
        <f t="shared" si="565"/>
        <v>#DIV/0!</v>
      </c>
      <c r="AS542" s="176" t="e">
        <f t="shared" si="566"/>
        <v>#DIV/0!</v>
      </c>
      <c r="AT542" s="176" t="e">
        <f t="shared" si="567"/>
        <v>#DIV/0!</v>
      </c>
      <c r="AU542" s="176" t="e">
        <f t="shared" si="568"/>
        <v>#DIV/0!</v>
      </c>
      <c r="AV542" s="176" t="e">
        <f t="shared" si="569"/>
        <v>#DIV/0!</v>
      </c>
      <c r="AW542" s="181"/>
    </row>
    <row r="543" spans="1:49" x14ac:dyDescent="0.25">
      <c r="A543" s="185">
        <v>3050176</v>
      </c>
      <c r="B543" s="259" t="s">
        <v>1313</v>
      </c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>
        <f t="shared" si="553"/>
        <v>0</v>
      </c>
      <c r="P543" s="261"/>
      <c r="R543" s="185"/>
      <c r="S543" s="259"/>
      <c r="T543" s="261"/>
      <c r="U543" s="261"/>
      <c r="V543" s="261"/>
      <c r="W543" s="261">
        <v>0</v>
      </c>
      <c r="X543" s="261"/>
      <c r="Y543" s="261"/>
      <c r="Z543" s="261"/>
      <c r="AA543" s="261"/>
      <c r="AB543" s="261"/>
      <c r="AC543" s="261"/>
      <c r="AD543" s="261"/>
      <c r="AE543" s="261"/>
      <c r="AF543" s="261">
        <f t="shared" si="554"/>
        <v>0</v>
      </c>
      <c r="AG543" s="261">
        <f t="shared" si="555"/>
        <v>0</v>
      </c>
      <c r="AI543" s="176" t="e">
        <f t="shared" si="556"/>
        <v>#DIV/0!</v>
      </c>
      <c r="AJ543" s="176" t="e">
        <f t="shared" si="557"/>
        <v>#DIV/0!</v>
      </c>
      <c r="AK543" s="176" t="e">
        <f t="shared" si="558"/>
        <v>#DIV/0!</v>
      </c>
      <c r="AL543" s="176" t="e">
        <f t="shared" si="559"/>
        <v>#DIV/0!</v>
      </c>
      <c r="AM543" s="176" t="e">
        <f t="shared" si="560"/>
        <v>#DIV/0!</v>
      </c>
      <c r="AN543" s="176" t="e">
        <f t="shared" si="561"/>
        <v>#DIV/0!</v>
      </c>
      <c r="AO543" s="176" t="e">
        <f t="shared" si="562"/>
        <v>#DIV/0!</v>
      </c>
      <c r="AP543" s="176" t="e">
        <f t="shared" si="563"/>
        <v>#DIV/0!</v>
      </c>
      <c r="AQ543" s="176" t="e">
        <f t="shared" si="564"/>
        <v>#DIV/0!</v>
      </c>
      <c r="AR543" s="176" t="e">
        <f t="shared" si="565"/>
        <v>#DIV/0!</v>
      </c>
      <c r="AS543" s="176" t="e">
        <f t="shared" si="566"/>
        <v>#DIV/0!</v>
      </c>
      <c r="AT543" s="176" t="e">
        <f t="shared" si="567"/>
        <v>#DIV/0!</v>
      </c>
      <c r="AU543" s="176" t="e">
        <f t="shared" si="568"/>
        <v>#DIV/0!</v>
      </c>
      <c r="AV543" s="176" t="e">
        <f t="shared" si="569"/>
        <v>#DIV/0!</v>
      </c>
      <c r="AW543" s="181"/>
    </row>
    <row r="544" spans="1:49" x14ac:dyDescent="0.25">
      <c r="A544" s="185">
        <v>3050177</v>
      </c>
      <c r="B544" s="259" t="s">
        <v>1314</v>
      </c>
      <c r="C544" s="261"/>
      <c r="D544" s="261"/>
      <c r="E544" s="261"/>
      <c r="F544" s="261"/>
      <c r="G544" s="261"/>
      <c r="H544" s="261"/>
      <c r="I544" s="261"/>
      <c r="J544" s="261"/>
      <c r="K544" s="261"/>
      <c r="L544" s="261"/>
      <c r="M544" s="261"/>
      <c r="N544" s="261"/>
      <c r="O544" s="261">
        <f t="shared" si="553"/>
        <v>0</v>
      </c>
      <c r="P544" s="261"/>
      <c r="R544" s="185"/>
      <c r="S544" s="259"/>
      <c r="T544" s="261"/>
      <c r="U544" s="261"/>
      <c r="V544" s="261"/>
      <c r="W544" s="261">
        <v>0</v>
      </c>
      <c r="X544" s="261"/>
      <c r="Y544" s="261"/>
      <c r="Z544" s="261"/>
      <c r="AA544" s="261"/>
      <c r="AB544" s="261"/>
      <c r="AC544" s="261"/>
      <c r="AD544" s="261"/>
      <c r="AE544" s="261"/>
      <c r="AF544" s="261">
        <f t="shared" si="554"/>
        <v>0</v>
      </c>
      <c r="AG544" s="261">
        <f t="shared" si="555"/>
        <v>0</v>
      </c>
      <c r="AI544" s="176" t="e">
        <f t="shared" si="556"/>
        <v>#DIV/0!</v>
      </c>
      <c r="AJ544" s="176" t="e">
        <f t="shared" si="557"/>
        <v>#DIV/0!</v>
      </c>
      <c r="AK544" s="176" t="e">
        <f t="shared" si="558"/>
        <v>#DIV/0!</v>
      </c>
      <c r="AL544" s="176" t="e">
        <f t="shared" si="559"/>
        <v>#DIV/0!</v>
      </c>
      <c r="AM544" s="176" t="e">
        <f t="shared" si="560"/>
        <v>#DIV/0!</v>
      </c>
      <c r="AN544" s="176" t="e">
        <f t="shared" si="561"/>
        <v>#DIV/0!</v>
      </c>
      <c r="AO544" s="176" t="e">
        <f t="shared" si="562"/>
        <v>#DIV/0!</v>
      </c>
      <c r="AP544" s="176" t="e">
        <f t="shared" si="563"/>
        <v>#DIV/0!</v>
      </c>
      <c r="AQ544" s="176" t="e">
        <f t="shared" si="564"/>
        <v>#DIV/0!</v>
      </c>
      <c r="AR544" s="176" t="e">
        <f t="shared" si="565"/>
        <v>#DIV/0!</v>
      </c>
      <c r="AS544" s="176" t="e">
        <f t="shared" si="566"/>
        <v>#DIV/0!</v>
      </c>
      <c r="AT544" s="176" t="e">
        <f t="shared" si="567"/>
        <v>#DIV/0!</v>
      </c>
      <c r="AU544" s="176" t="e">
        <f t="shared" si="568"/>
        <v>#DIV/0!</v>
      </c>
      <c r="AV544" s="176" t="e">
        <f t="shared" si="569"/>
        <v>#DIV/0!</v>
      </c>
      <c r="AW544" s="181"/>
    </row>
    <row r="545" spans="1:49" x14ac:dyDescent="0.25">
      <c r="A545" s="185">
        <v>3050178</v>
      </c>
      <c r="B545" s="259" t="s">
        <v>1315</v>
      </c>
      <c r="C545" s="261"/>
      <c r="D545" s="261"/>
      <c r="E545" s="261"/>
      <c r="F545" s="261"/>
      <c r="G545" s="261"/>
      <c r="H545" s="261"/>
      <c r="I545" s="261"/>
      <c r="J545" s="261"/>
      <c r="K545" s="261"/>
      <c r="L545" s="261"/>
      <c r="M545" s="261"/>
      <c r="N545" s="261"/>
      <c r="O545" s="261">
        <f t="shared" si="553"/>
        <v>0</v>
      </c>
      <c r="P545" s="261"/>
      <c r="R545" s="185"/>
      <c r="S545" s="259"/>
      <c r="T545" s="261"/>
      <c r="U545" s="261"/>
      <c r="V545" s="261"/>
      <c r="W545" s="261">
        <v>0</v>
      </c>
      <c r="X545" s="261"/>
      <c r="Y545" s="261"/>
      <c r="Z545" s="261"/>
      <c r="AA545" s="261"/>
      <c r="AB545" s="261"/>
      <c r="AC545" s="261"/>
      <c r="AD545" s="261"/>
      <c r="AE545" s="261"/>
      <c r="AF545" s="261">
        <f t="shared" si="554"/>
        <v>0</v>
      </c>
      <c r="AG545" s="261">
        <f t="shared" si="555"/>
        <v>0</v>
      </c>
      <c r="AI545" s="176" t="e">
        <f t="shared" si="556"/>
        <v>#DIV/0!</v>
      </c>
      <c r="AJ545" s="176" t="e">
        <f t="shared" si="557"/>
        <v>#DIV/0!</v>
      </c>
      <c r="AK545" s="176" t="e">
        <f t="shared" si="558"/>
        <v>#DIV/0!</v>
      </c>
      <c r="AL545" s="176" t="e">
        <f t="shared" si="559"/>
        <v>#DIV/0!</v>
      </c>
      <c r="AM545" s="176" t="e">
        <f t="shared" si="560"/>
        <v>#DIV/0!</v>
      </c>
      <c r="AN545" s="176" t="e">
        <f t="shared" si="561"/>
        <v>#DIV/0!</v>
      </c>
      <c r="AO545" s="176" t="e">
        <f t="shared" si="562"/>
        <v>#DIV/0!</v>
      </c>
      <c r="AP545" s="176" t="e">
        <f t="shared" si="563"/>
        <v>#DIV/0!</v>
      </c>
      <c r="AQ545" s="176" t="e">
        <f t="shared" si="564"/>
        <v>#DIV/0!</v>
      </c>
      <c r="AR545" s="176" t="e">
        <f t="shared" si="565"/>
        <v>#DIV/0!</v>
      </c>
      <c r="AS545" s="176" t="e">
        <f t="shared" si="566"/>
        <v>#DIV/0!</v>
      </c>
      <c r="AT545" s="176" t="e">
        <f t="shared" si="567"/>
        <v>#DIV/0!</v>
      </c>
      <c r="AU545" s="176" t="e">
        <f t="shared" si="568"/>
        <v>#DIV/0!</v>
      </c>
      <c r="AV545" s="176" t="e">
        <f t="shared" si="569"/>
        <v>#DIV/0!</v>
      </c>
      <c r="AW545" s="181"/>
    </row>
    <row r="546" spans="1:49" x14ac:dyDescent="0.25">
      <c r="A546" s="185">
        <v>3050179</v>
      </c>
      <c r="B546" s="259" t="s">
        <v>1316</v>
      </c>
      <c r="C546" s="261"/>
      <c r="D546" s="261"/>
      <c r="E546" s="261"/>
      <c r="F546" s="261"/>
      <c r="G546" s="261"/>
      <c r="H546" s="261"/>
      <c r="I546" s="261"/>
      <c r="J546" s="261"/>
      <c r="K546" s="261"/>
      <c r="L546" s="261"/>
      <c r="M546" s="261"/>
      <c r="N546" s="261"/>
      <c r="O546" s="261">
        <f t="shared" si="553"/>
        <v>0</v>
      </c>
      <c r="P546" s="261"/>
      <c r="R546" s="185"/>
      <c r="S546" s="259"/>
      <c r="T546" s="261"/>
      <c r="U546" s="261"/>
      <c r="V546" s="261"/>
      <c r="W546" s="261">
        <v>0</v>
      </c>
      <c r="X546" s="261"/>
      <c r="Y546" s="261"/>
      <c r="Z546" s="261"/>
      <c r="AA546" s="261"/>
      <c r="AB546" s="261"/>
      <c r="AC546" s="261"/>
      <c r="AD546" s="261"/>
      <c r="AE546" s="261"/>
      <c r="AF546" s="261">
        <f t="shared" si="554"/>
        <v>0</v>
      </c>
      <c r="AG546" s="261">
        <f t="shared" si="555"/>
        <v>0</v>
      </c>
      <c r="AI546" s="176" t="e">
        <f t="shared" si="556"/>
        <v>#DIV/0!</v>
      </c>
      <c r="AJ546" s="176" t="e">
        <f t="shared" si="557"/>
        <v>#DIV/0!</v>
      </c>
      <c r="AK546" s="176" t="e">
        <f t="shared" si="558"/>
        <v>#DIV/0!</v>
      </c>
      <c r="AL546" s="176" t="e">
        <f t="shared" si="559"/>
        <v>#DIV/0!</v>
      </c>
      <c r="AM546" s="176" t="e">
        <f t="shared" si="560"/>
        <v>#DIV/0!</v>
      </c>
      <c r="AN546" s="176" t="e">
        <f t="shared" si="561"/>
        <v>#DIV/0!</v>
      </c>
      <c r="AO546" s="176" t="e">
        <f t="shared" si="562"/>
        <v>#DIV/0!</v>
      </c>
      <c r="AP546" s="176" t="e">
        <f t="shared" si="563"/>
        <v>#DIV/0!</v>
      </c>
      <c r="AQ546" s="176" t="e">
        <f t="shared" si="564"/>
        <v>#DIV/0!</v>
      </c>
      <c r="AR546" s="176" t="e">
        <f t="shared" si="565"/>
        <v>#DIV/0!</v>
      </c>
      <c r="AS546" s="176" t="e">
        <f t="shared" si="566"/>
        <v>#DIV/0!</v>
      </c>
      <c r="AT546" s="176" t="e">
        <f t="shared" si="567"/>
        <v>#DIV/0!</v>
      </c>
      <c r="AU546" s="176" t="e">
        <f t="shared" si="568"/>
        <v>#DIV/0!</v>
      </c>
      <c r="AV546" s="176" t="e">
        <f t="shared" si="569"/>
        <v>#DIV/0!</v>
      </c>
      <c r="AW546" s="181"/>
    </row>
    <row r="547" spans="1:49" x14ac:dyDescent="0.25">
      <c r="A547" s="185">
        <v>3050180</v>
      </c>
      <c r="B547" s="259" t="s">
        <v>1317</v>
      </c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>
        <f t="shared" si="553"/>
        <v>0</v>
      </c>
      <c r="P547" s="261"/>
      <c r="R547" s="185"/>
      <c r="S547" s="259"/>
      <c r="T547" s="261"/>
      <c r="U547" s="261"/>
      <c r="V547" s="261"/>
      <c r="W547" s="261">
        <v>0</v>
      </c>
      <c r="X547" s="261"/>
      <c r="Y547" s="261"/>
      <c r="Z547" s="261"/>
      <c r="AA547" s="261"/>
      <c r="AB547" s="261"/>
      <c r="AC547" s="261"/>
      <c r="AD547" s="261"/>
      <c r="AE547" s="261"/>
      <c r="AF547" s="261">
        <f t="shared" si="554"/>
        <v>0</v>
      </c>
      <c r="AG547" s="261">
        <f t="shared" si="555"/>
        <v>0</v>
      </c>
      <c r="AI547" s="176" t="e">
        <f t="shared" si="556"/>
        <v>#DIV/0!</v>
      </c>
      <c r="AJ547" s="176" t="e">
        <f t="shared" si="557"/>
        <v>#DIV/0!</v>
      </c>
      <c r="AK547" s="176" t="e">
        <f t="shared" si="558"/>
        <v>#DIV/0!</v>
      </c>
      <c r="AL547" s="176" t="e">
        <f t="shared" si="559"/>
        <v>#DIV/0!</v>
      </c>
      <c r="AM547" s="176" t="e">
        <f t="shared" si="560"/>
        <v>#DIV/0!</v>
      </c>
      <c r="AN547" s="176" t="e">
        <f t="shared" si="561"/>
        <v>#DIV/0!</v>
      </c>
      <c r="AO547" s="176" t="e">
        <f t="shared" si="562"/>
        <v>#DIV/0!</v>
      </c>
      <c r="AP547" s="176" t="e">
        <f t="shared" si="563"/>
        <v>#DIV/0!</v>
      </c>
      <c r="AQ547" s="176" t="e">
        <f t="shared" si="564"/>
        <v>#DIV/0!</v>
      </c>
      <c r="AR547" s="176" t="e">
        <f t="shared" si="565"/>
        <v>#DIV/0!</v>
      </c>
      <c r="AS547" s="176" t="e">
        <f t="shared" si="566"/>
        <v>#DIV/0!</v>
      </c>
      <c r="AT547" s="176" t="e">
        <f t="shared" si="567"/>
        <v>#DIV/0!</v>
      </c>
      <c r="AU547" s="176" t="e">
        <f t="shared" si="568"/>
        <v>#DIV/0!</v>
      </c>
      <c r="AV547" s="176" t="e">
        <f t="shared" si="569"/>
        <v>#DIV/0!</v>
      </c>
      <c r="AW547" s="181"/>
    </row>
    <row r="548" spans="1:49" x14ac:dyDescent="0.25">
      <c r="A548" s="185">
        <v>3050181</v>
      </c>
      <c r="B548" s="259" t="s">
        <v>1318</v>
      </c>
      <c r="C548" s="261"/>
      <c r="D548" s="261"/>
      <c r="E548" s="261"/>
      <c r="F548" s="261"/>
      <c r="G548" s="261"/>
      <c r="H548" s="261"/>
      <c r="I548" s="261"/>
      <c r="J548" s="261"/>
      <c r="K548" s="261"/>
      <c r="L548" s="261"/>
      <c r="M548" s="261"/>
      <c r="N548" s="261"/>
      <c r="O548" s="261">
        <f t="shared" si="553"/>
        <v>0</v>
      </c>
      <c r="P548" s="261"/>
      <c r="R548" s="185"/>
      <c r="S548" s="259"/>
      <c r="T548" s="261"/>
      <c r="U548" s="261"/>
      <c r="V548" s="261"/>
      <c r="W548" s="261">
        <v>0</v>
      </c>
      <c r="X548" s="261"/>
      <c r="Y548" s="261"/>
      <c r="Z548" s="261"/>
      <c r="AA548" s="261"/>
      <c r="AB548" s="261"/>
      <c r="AC548" s="261"/>
      <c r="AD548" s="261"/>
      <c r="AE548" s="261"/>
      <c r="AF548" s="261">
        <f t="shared" si="554"/>
        <v>0</v>
      </c>
      <c r="AG548" s="261">
        <f t="shared" si="555"/>
        <v>0</v>
      </c>
      <c r="AI548" s="176" t="e">
        <f t="shared" si="556"/>
        <v>#DIV/0!</v>
      </c>
      <c r="AJ548" s="176" t="e">
        <f t="shared" si="557"/>
        <v>#DIV/0!</v>
      </c>
      <c r="AK548" s="176" t="e">
        <f t="shared" si="558"/>
        <v>#DIV/0!</v>
      </c>
      <c r="AL548" s="176" t="e">
        <f t="shared" si="559"/>
        <v>#DIV/0!</v>
      </c>
      <c r="AM548" s="176" t="e">
        <f t="shared" si="560"/>
        <v>#DIV/0!</v>
      </c>
      <c r="AN548" s="176" t="e">
        <f t="shared" si="561"/>
        <v>#DIV/0!</v>
      </c>
      <c r="AO548" s="176" t="e">
        <f t="shared" si="562"/>
        <v>#DIV/0!</v>
      </c>
      <c r="AP548" s="176" t="e">
        <f t="shared" si="563"/>
        <v>#DIV/0!</v>
      </c>
      <c r="AQ548" s="176" t="e">
        <f t="shared" si="564"/>
        <v>#DIV/0!</v>
      </c>
      <c r="AR548" s="176" t="e">
        <f t="shared" si="565"/>
        <v>#DIV/0!</v>
      </c>
      <c r="AS548" s="176" t="e">
        <f t="shared" si="566"/>
        <v>#DIV/0!</v>
      </c>
      <c r="AT548" s="176" t="e">
        <f t="shared" si="567"/>
        <v>#DIV/0!</v>
      </c>
      <c r="AU548" s="176" t="e">
        <f t="shared" si="568"/>
        <v>#DIV/0!</v>
      </c>
      <c r="AV548" s="176" t="e">
        <f t="shared" si="569"/>
        <v>#DIV/0!</v>
      </c>
      <c r="AW548" s="181"/>
    </row>
    <row r="549" spans="1:49" x14ac:dyDescent="0.25">
      <c r="A549" s="185">
        <v>3050182</v>
      </c>
      <c r="B549" s="259" t="s">
        <v>1319</v>
      </c>
      <c r="C549" s="261"/>
      <c r="D549" s="261"/>
      <c r="E549" s="261"/>
      <c r="F549" s="261"/>
      <c r="G549" s="261"/>
      <c r="H549" s="261"/>
      <c r="I549" s="261"/>
      <c r="J549" s="261"/>
      <c r="K549" s="261"/>
      <c r="L549" s="261"/>
      <c r="M549" s="261"/>
      <c r="N549" s="261"/>
      <c r="O549" s="261">
        <f t="shared" si="553"/>
        <v>0</v>
      </c>
      <c r="P549" s="261"/>
      <c r="R549" s="185"/>
      <c r="S549" s="259"/>
      <c r="T549" s="261"/>
      <c r="U549" s="261"/>
      <c r="V549" s="261"/>
      <c r="W549" s="261">
        <v>0</v>
      </c>
      <c r="X549" s="261"/>
      <c r="Y549" s="261"/>
      <c r="Z549" s="261"/>
      <c r="AA549" s="261"/>
      <c r="AB549" s="261"/>
      <c r="AC549" s="261"/>
      <c r="AD549" s="261"/>
      <c r="AE549" s="261"/>
      <c r="AF549" s="261">
        <f t="shared" si="554"/>
        <v>0</v>
      </c>
      <c r="AG549" s="261">
        <f t="shared" si="555"/>
        <v>0</v>
      </c>
      <c r="AI549" s="176" t="e">
        <f t="shared" si="556"/>
        <v>#DIV/0!</v>
      </c>
      <c r="AJ549" s="176" t="e">
        <f t="shared" si="557"/>
        <v>#DIV/0!</v>
      </c>
      <c r="AK549" s="176" t="e">
        <f t="shared" si="558"/>
        <v>#DIV/0!</v>
      </c>
      <c r="AL549" s="176" t="e">
        <f t="shared" si="559"/>
        <v>#DIV/0!</v>
      </c>
      <c r="AM549" s="176" t="e">
        <f t="shared" si="560"/>
        <v>#DIV/0!</v>
      </c>
      <c r="AN549" s="176" t="e">
        <f t="shared" si="561"/>
        <v>#DIV/0!</v>
      </c>
      <c r="AO549" s="176" t="e">
        <f t="shared" si="562"/>
        <v>#DIV/0!</v>
      </c>
      <c r="AP549" s="176" t="e">
        <f t="shared" si="563"/>
        <v>#DIV/0!</v>
      </c>
      <c r="AQ549" s="176" t="e">
        <f t="shared" si="564"/>
        <v>#DIV/0!</v>
      </c>
      <c r="AR549" s="176" t="e">
        <f t="shared" si="565"/>
        <v>#DIV/0!</v>
      </c>
      <c r="AS549" s="176" t="e">
        <f t="shared" si="566"/>
        <v>#DIV/0!</v>
      </c>
      <c r="AT549" s="176" t="e">
        <f t="shared" si="567"/>
        <v>#DIV/0!</v>
      </c>
      <c r="AU549" s="176" t="e">
        <f t="shared" si="568"/>
        <v>#DIV/0!</v>
      </c>
      <c r="AV549" s="176" t="e">
        <f t="shared" si="569"/>
        <v>#DIV/0!</v>
      </c>
      <c r="AW549" s="181"/>
    </row>
    <row r="550" spans="1:49" x14ac:dyDescent="0.25">
      <c r="A550" s="185">
        <v>30546</v>
      </c>
      <c r="B550" s="182" t="s">
        <v>1136</v>
      </c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>
        <f t="shared" si="553"/>
        <v>0</v>
      </c>
      <c r="P550" s="184"/>
      <c r="R550" s="185"/>
      <c r="S550" s="182"/>
      <c r="T550" s="184"/>
      <c r="U550" s="184">
        <v>0</v>
      </c>
      <c r="V550" s="184">
        <v>0</v>
      </c>
      <c r="W550" s="261">
        <v>0</v>
      </c>
      <c r="X550" s="184"/>
      <c r="Y550" s="184"/>
      <c r="Z550" s="184"/>
      <c r="AA550" s="184"/>
      <c r="AB550" s="184"/>
      <c r="AC550" s="184"/>
      <c r="AD550" s="184"/>
      <c r="AE550" s="184"/>
      <c r="AF550" s="261">
        <f t="shared" si="554"/>
        <v>0</v>
      </c>
      <c r="AG550" s="184">
        <f t="shared" si="555"/>
        <v>0</v>
      </c>
      <c r="AI550" s="176" t="e">
        <f t="shared" si="556"/>
        <v>#DIV/0!</v>
      </c>
      <c r="AJ550" s="176" t="e">
        <f t="shared" si="557"/>
        <v>#DIV/0!</v>
      </c>
      <c r="AK550" s="176" t="e">
        <f t="shared" si="558"/>
        <v>#DIV/0!</v>
      </c>
      <c r="AL550" s="176" t="e">
        <f t="shared" si="559"/>
        <v>#DIV/0!</v>
      </c>
      <c r="AM550" s="176" t="e">
        <f t="shared" si="560"/>
        <v>#DIV/0!</v>
      </c>
      <c r="AN550" s="176" t="e">
        <f t="shared" si="561"/>
        <v>#DIV/0!</v>
      </c>
      <c r="AO550" s="176" t="e">
        <f t="shared" si="562"/>
        <v>#DIV/0!</v>
      </c>
      <c r="AP550" s="176" t="e">
        <f t="shared" si="563"/>
        <v>#DIV/0!</v>
      </c>
      <c r="AQ550" s="176" t="e">
        <f t="shared" si="564"/>
        <v>#DIV/0!</v>
      </c>
      <c r="AR550" s="176" t="e">
        <f t="shared" si="565"/>
        <v>#DIV/0!</v>
      </c>
      <c r="AS550" s="176" t="e">
        <f t="shared" si="566"/>
        <v>#DIV/0!</v>
      </c>
      <c r="AT550" s="176" t="e">
        <f t="shared" si="567"/>
        <v>#DIV/0!</v>
      </c>
      <c r="AU550" s="176" t="e">
        <f t="shared" si="568"/>
        <v>#DIV/0!</v>
      </c>
      <c r="AV550" s="176" t="e">
        <f t="shared" si="569"/>
        <v>#DIV/0!</v>
      </c>
      <c r="AW550" s="181"/>
    </row>
    <row r="551" spans="1:49" x14ac:dyDescent="0.25">
      <c r="A551" s="185">
        <v>30547</v>
      </c>
      <c r="B551" s="182" t="s">
        <v>1137</v>
      </c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>
        <f t="shared" si="553"/>
        <v>0</v>
      </c>
      <c r="P551" s="184"/>
      <c r="R551" s="185"/>
      <c r="S551" s="182"/>
      <c r="T551" s="184"/>
      <c r="U551" s="184">
        <v>0</v>
      </c>
      <c r="V551" s="184">
        <v>0</v>
      </c>
      <c r="W551" s="261">
        <v>0</v>
      </c>
      <c r="X551" s="184"/>
      <c r="Y551" s="184"/>
      <c r="Z551" s="184"/>
      <c r="AA551" s="184"/>
      <c r="AB551" s="184"/>
      <c r="AC551" s="184"/>
      <c r="AD551" s="184"/>
      <c r="AE551" s="184"/>
      <c r="AF551" s="261">
        <f t="shared" si="554"/>
        <v>0</v>
      </c>
      <c r="AG551" s="184">
        <f t="shared" si="555"/>
        <v>0</v>
      </c>
      <c r="AI551" s="176" t="e">
        <f t="shared" si="556"/>
        <v>#DIV/0!</v>
      </c>
      <c r="AJ551" s="176" t="e">
        <f t="shared" si="557"/>
        <v>#DIV/0!</v>
      </c>
      <c r="AK551" s="176" t="e">
        <f t="shared" si="558"/>
        <v>#DIV/0!</v>
      </c>
      <c r="AL551" s="176" t="e">
        <f t="shared" si="559"/>
        <v>#DIV/0!</v>
      </c>
      <c r="AM551" s="176" t="e">
        <f t="shared" si="560"/>
        <v>#DIV/0!</v>
      </c>
      <c r="AN551" s="176" t="e">
        <f t="shared" si="561"/>
        <v>#DIV/0!</v>
      </c>
      <c r="AO551" s="176" t="e">
        <f t="shared" si="562"/>
        <v>#DIV/0!</v>
      </c>
      <c r="AP551" s="176" t="e">
        <f t="shared" si="563"/>
        <v>#DIV/0!</v>
      </c>
      <c r="AQ551" s="176" t="e">
        <f t="shared" si="564"/>
        <v>#DIV/0!</v>
      </c>
      <c r="AR551" s="176" t="e">
        <f t="shared" si="565"/>
        <v>#DIV/0!</v>
      </c>
      <c r="AS551" s="176" t="e">
        <f t="shared" si="566"/>
        <v>#DIV/0!</v>
      </c>
      <c r="AT551" s="176" t="e">
        <f t="shared" si="567"/>
        <v>#DIV/0!</v>
      </c>
      <c r="AU551" s="176" t="e">
        <f t="shared" si="568"/>
        <v>#DIV/0!</v>
      </c>
      <c r="AV551" s="176" t="e">
        <f t="shared" si="569"/>
        <v>#DIV/0!</v>
      </c>
      <c r="AW551" s="181"/>
    </row>
    <row r="552" spans="1:49" x14ac:dyDescent="0.25">
      <c r="A552" s="185">
        <v>30548</v>
      </c>
      <c r="B552" s="182" t="s">
        <v>1138</v>
      </c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>
        <f t="shared" si="553"/>
        <v>0</v>
      </c>
      <c r="P552" s="184"/>
      <c r="R552" s="185"/>
      <c r="S552" s="182"/>
      <c r="T552" s="184"/>
      <c r="U552" s="184">
        <v>0</v>
      </c>
      <c r="V552" s="184">
        <v>0</v>
      </c>
      <c r="W552" s="261">
        <v>23950000</v>
      </c>
      <c r="X552" s="184"/>
      <c r="Y552" s="184"/>
      <c r="Z552" s="184"/>
      <c r="AA552" s="184"/>
      <c r="AB552" s="184"/>
      <c r="AC552" s="184"/>
      <c r="AD552" s="184"/>
      <c r="AE552" s="184"/>
      <c r="AF552" s="261">
        <f t="shared" si="554"/>
        <v>23950000</v>
      </c>
      <c r="AG552" s="184">
        <f t="shared" si="555"/>
        <v>23950000</v>
      </c>
      <c r="AI552" s="176" t="e">
        <f t="shared" si="556"/>
        <v>#DIV/0!</v>
      </c>
      <c r="AJ552" s="176" t="e">
        <f t="shared" si="557"/>
        <v>#DIV/0!</v>
      </c>
      <c r="AK552" s="176" t="e">
        <f t="shared" si="558"/>
        <v>#DIV/0!</v>
      </c>
      <c r="AL552" s="176" t="e">
        <f t="shared" si="559"/>
        <v>#DIV/0!</v>
      </c>
      <c r="AM552" s="176" t="e">
        <f t="shared" si="560"/>
        <v>#DIV/0!</v>
      </c>
      <c r="AN552" s="176" t="e">
        <f t="shared" si="561"/>
        <v>#DIV/0!</v>
      </c>
      <c r="AO552" s="176" t="e">
        <f t="shared" si="562"/>
        <v>#DIV/0!</v>
      </c>
      <c r="AP552" s="176" t="e">
        <f t="shared" si="563"/>
        <v>#DIV/0!</v>
      </c>
      <c r="AQ552" s="176" t="e">
        <f t="shared" si="564"/>
        <v>#DIV/0!</v>
      </c>
      <c r="AR552" s="176" t="e">
        <f t="shared" si="565"/>
        <v>#DIV/0!</v>
      </c>
      <c r="AS552" s="176" t="e">
        <f t="shared" si="566"/>
        <v>#DIV/0!</v>
      </c>
      <c r="AT552" s="176" t="e">
        <f t="shared" si="567"/>
        <v>#DIV/0!</v>
      </c>
      <c r="AU552" s="176" t="e">
        <f t="shared" si="568"/>
        <v>#DIV/0!</v>
      </c>
      <c r="AV552" s="176" t="e">
        <f t="shared" si="569"/>
        <v>#DIV/0!</v>
      </c>
      <c r="AW552" s="181"/>
    </row>
    <row r="553" spans="1:49" x14ac:dyDescent="0.25">
      <c r="A553" s="185">
        <v>30549</v>
      </c>
      <c r="B553" s="182" t="s">
        <v>1139</v>
      </c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>
        <f t="shared" si="553"/>
        <v>0</v>
      </c>
      <c r="P553" s="184"/>
      <c r="R553" s="185"/>
      <c r="S553" s="182"/>
      <c r="T553" s="184"/>
      <c r="U553" s="184">
        <v>0</v>
      </c>
      <c r="V553" s="184">
        <v>0</v>
      </c>
      <c r="W553" s="261">
        <v>0</v>
      </c>
      <c r="X553" s="184"/>
      <c r="Y553" s="184"/>
      <c r="Z553" s="184"/>
      <c r="AA553" s="184"/>
      <c r="AB553" s="184"/>
      <c r="AC553" s="184"/>
      <c r="AD553" s="184"/>
      <c r="AE553" s="184"/>
      <c r="AF553" s="261">
        <f t="shared" si="554"/>
        <v>0</v>
      </c>
      <c r="AG553" s="184">
        <f t="shared" si="555"/>
        <v>0</v>
      </c>
      <c r="AI553" s="176" t="e">
        <f t="shared" si="556"/>
        <v>#DIV/0!</v>
      </c>
      <c r="AJ553" s="176" t="e">
        <f t="shared" si="557"/>
        <v>#DIV/0!</v>
      </c>
      <c r="AK553" s="176" t="e">
        <f t="shared" si="558"/>
        <v>#DIV/0!</v>
      </c>
      <c r="AL553" s="176" t="e">
        <f t="shared" si="559"/>
        <v>#DIV/0!</v>
      </c>
      <c r="AM553" s="176" t="e">
        <f t="shared" si="560"/>
        <v>#DIV/0!</v>
      </c>
      <c r="AN553" s="176" t="e">
        <f t="shared" si="561"/>
        <v>#DIV/0!</v>
      </c>
      <c r="AO553" s="176" t="e">
        <f t="shared" si="562"/>
        <v>#DIV/0!</v>
      </c>
      <c r="AP553" s="176" t="e">
        <f t="shared" si="563"/>
        <v>#DIV/0!</v>
      </c>
      <c r="AQ553" s="176" t="e">
        <f t="shared" si="564"/>
        <v>#DIV/0!</v>
      </c>
      <c r="AR553" s="176" t="e">
        <f t="shared" si="565"/>
        <v>#DIV/0!</v>
      </c>
      <c r="AS553" s="176" t="e">
        <f t="shared" si="566"/>
        <v>#DIV/0!</v>
      </c>
      <c r="AT553" s="176" t="e">
        <f t="shared" si="567"/>
        <v>#DIV/0!</v>
      </c>
      <c r="AU553" s="176" t="e">
        <f t="shared" si="568"/>
        <v>#DIV/0!</v>
      </c>
      <c r="AV553" s="176" t="e">
        <f t="shared" si="569"/>
        <v>#DIV/0!</v>
      </c>
      <c r="AW553" s="181"/>
    </row>
    <row r="554" spans="1:49" x14ac:dyDescent="0.25">
      <c r="A554" s="185">
        <v>30550</v>
      </c>
      <c r="B554" s="182" t="s">
        <v>1140</v>
      </c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>
        <f t="shared" si="553"/>
        <v>0</v>
      </c>
      <c r="P554" s="184"/>
      <c r="R554" s="185"/>
      <c r="S554" s="182"/>
      <c r="T554" s="184"/>
      <c r="U554" s="184">
        <v>0</v>
      </c>
      <c r="V554" s="184">
        <v>0</v>
      </c>
      <c r="W554" s="261">
        <v>6761384.6299999999</v>
      </c>
      <c r="X554" s="184"/>
      <c r="Y554" s="184"/>
      <c r="Z554" s="184"/>
      <c r="AA554" s="184"/>
      <c r="AB554" s="184"/>
      <c r="AC554" s="184"/>
      <c r="AD554" s="184"/>
      <c r="AE554" s="184"/>
      <c r="AF554" s="261">
        <f t="shared" si="554"/>
        <v>6761384.6299999999</v>
      </c>
      <c r="AG554" s="184">
        <f t="shared" si="555"/>
        <v>6761384.6299999999</v>
      </c>
      <c r="AI554" s="176" t="e">
        <f t="shared" si="556"/>
        <v>#DIV/0!</v>
      </c>
      <c r="AJ554" s="176" t="e">
        <f t="shared" si="557"/>
        <v>#DIV/0!</v>
      </c>
      <c r="AK554" s="176" t="e">
        <f t="shared" si="558"/>
        <v>#DIV/0!</v>
      </c>
      <c r="AL554" s="176" t="e">
        <f t="shared" si="559"/>
        <v>#DIV/0!</v>
      </c>
      <c r="AM554" s="176" t="e">
        <f t="shared" si="560"/>
        <v>#DIV/0!</v>
      </c>
      <c r="AN554" s="176" t="e">
        <f t="shared" si="561"/>
        <v>#DIV/0!</v>
      </c>
      <c r="AO554" s="176" t="e">
        <f t="shared" si="562"/>
        <v>#DIV/0!</v>
      </c>
      <c r="AP554" s="176" t="e">
        <f t="shared" si="563"/>
        <v>#DIV/0!</v>
      </c>
      <c r="AQ554" s="176" t="e">
        <f t="shared" si="564"/>
        <v>#DIV/0!</v>
      </c>
      <c r="AR554" s="176" t="e">
        <f t="shared" si="565"/>
        <v>#DIV/0!</v>
      </c>
      <c r="AS554" s="176" t="e">
        <f t="shared" si="566"/>
        <v>#DIV/0!</v>
      </c>
      <c r="AT554" s="176" t="e">
        <f t="shared" si="567"/>
        <v>#DIV/0!</v>
      </c>
      <c r="AU554" s="176" t="e">
        <f t="shared" si="568"/>
        <v>#DIV/0!</v>
      </c>
      <c r="AV554" s="176" t="e">
        <f t="shared" si="569"/>
        <v>#DIV/0!</v>
      </c>
      <c r="AW554" s="181"/>
    </row>
    <row r="555" spans="1:49" x14ac:dyDescent="0.25">
      <c r="A555" s="185">
        <v>30551</v>
      </c>
      <c r="B555" s="182" t="s">
        <v>1141</v>
      </c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>
        <f t="shared" si="553"/>
        <v>0</v>
      </c>
      <c r="P555" s="184"/>
      <c r="R555" s="185"/>
      <c r="S555" s="182"/>
      <c r="T555" s="184"/>
      <c r="U555" s="184">
        <v>0</v>
      </c>
      <c r="V555" s="184">
        <v>1650000</v>
      </c>
      <c r="W555" s="261">
        <v>0</v>
      </c>
      <c r="X555" s="184"/>
      <c r="Y555" s="184"/>
      <c r="Z555" s="184"/>
      <c r="AA555" s="184"/>
      <c r="AB555" s="184"/>
      <c r="AC555" s="184"/>
      <c r="AD555" s="184"/>
      <c r="AE555" s="184"/>
      <c r="AF555" s="261">
        <f t="shared" si="554"/>
        <v>1650000</v>
      </c>
      <c r="AG555" s="184">
        <f t="shared" si="555"/>
        <v>1650000</v>
      </c>
      <c r="AI555" s="176" t="e">
        <f t="shared" si="556"/>
        <v>#DIV/0!</v>
      </c>
      <c r="AJ555" s="176" t="e">
        <f t="shared" si="557"/>
        <v>#DIV/0!</v>
      </c>
      <c r="AK555" s="176" t="e">
        <f t="shared" si="558"/>
        <v>#DIV/0!</v>
      </c>
      <c r="AL555" s="176" t="e">
        <f t="shared" si="559"/>
        <v>#DIV/0!</v>
      </c>
      <c r="AM555" s="176" t="e">
        <f t="shared" si="560"/>
        <v>#DIV/0!</v>
      </c>
      <c r="AN555" s="176" t="e">
        <f t="shared" si="561"/>
        <v>#DIV/0!</v>
      </c>
      <c r="AO555" s="176" t="e">
        <f t="shared" si="562"/>
        <v>#DIV/0!</v>
      </c>
      <c r="AP555" s="176" t="e">
        <f t="shared" si="563"/>
        <v>#DIV/0!</v>
      </c>
      <c r="AQ555" s="176" t="e">
        <f t="shared" si="564"/>
        <v>#DIV/0!</v>
      </c>
      <c r="AR555" s="176" t="e">
        <f t="shared" si="565"/>
        <v>#DIV/0!</v>
      </c>
      <c r="AS555" s="176" t="e">
        <f t="shared" si="566"/>
        <v>#DIV/0!</v>
      </c>
      <c r="AT555" s="176" t="e">
        <f t="shared" si="567"/>
        <v>#DIV/0!</v>
      </c>
      <c r="AU555" s="176" t="e">
        <f t="shared" si="568"/>
        <v>#DIV/0!</v>
      </c>
      <c r="AV555" s="176" t="e">
        <f t="shared" si="569"/>
        <v>#DIV/0!</v>
      </c>
    </row>
    <row r="556" spans="1:49" x14ac:dyDescent="0.25">
      <c r="A556" s="185">
        <v>30552</v>
      </c>
      <c r="B556" s="182" t="s">
        <v>1142</v>
      </c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>
        <f t="shared" si="553"/>
        <v>0</v>
      </c>
      <c r="P556" s="184"/>
      <c r="R556" s="185"/>
      <c r="S556" s="182"/>
      <c r="T556" s="184"/>
      <c r="U556" s="184">
        <v>0</v>
      </c>
      <c r="V556" s="184">
        <v>0</v>
      </c>
      <c r="W556" s="261">
        <v>0</v>
      </c>
      <c r="X556" s="184"/>
      <c r="Y556" s="184"/>
      <c r="Z556" s="184"/>
      <c r="AA556" s="184"/>
      <c r="AB556" s="184"/>
      <c r="AC556" s="184"/>
      <c r="AD556" s="184"/>
      <c r="AE556" s="184"/>
      <c r="AF556" s="261">
        <f t="shared" ref="AF556:AF587" si="570">+T556+U556+V556+W556</f>
        <v>0</v>
      </c>
      <c r="AG556" s="184">
        <f t="shared" ref="AG556:AG587" si="571">+T556+U556+V556+W556</f>
        <v>0</v>
      </c>
      <c r="AI556" s="176" t="e">
        <f t="shared" si="556"/>
        <v>#DIV/0!</v>
      </c>
      <c r="AJ556" s="176" t="e">
        <f t="shared" si="557"/>
        <v>#DIV/0!</v>
      </c>
      <c r="AK556" s="176" t="e">
        <f t="shared" si="558"/>
        <v>#DIV/0!</v>
      </c>
      <c r="AL556" s="176" t="e">
        <f t="shared" si="559"/>
        <v>#DIV/0!</v>
      </c>
      <c r="AM556" s="176" t="e">
        <f t="shared" si="560"/>
        <v>#DIV/0!</v>
      </c>
      <c r="AN556" s="176" t="e">
        <f t="shared" si="561"/>
        <v>#DIV/0!</v>
      </c>
      <c r="AO556" s="176" t="e">
        <f t="shared" si="562"/>
        <v>#DIV/0!</v>
      </c>
      <c r="AP556" s="176" t="e">
        <f t="shared" si="563"/>
        <v>#DIV/0!</v>
      </c>
      <c r="AQ556" s="176" t="e">
        <f t="shared" si="564"/>
        <v>#DIV/0!</v>
      </c>
      <c r="AR556" s="176" t="e">
        <f t="shared" si="565"/>
        <v>#DIV/0!</v>
      </c>
      <c r="AS556" s="176" t="e">
        <f t="shared" si="566"/>
        <v>#DIV/0!</v>
      </c>
      <c r="AT556" s="176" t="e">
        <f t="shared" si="567"/>
        <v>#DIV/0!</v>
      </c>
      <c r="AU556" s="176" t="e">
        <f t="shared" si="568"/>
        <v>#DIV/0!</v>
      </c>
      <c r="AV556" s="176" t="e">
        <f t="shared" si="569"/>
        <v>#DIV/0!</v>
      </c>
    </row>
    <row r="557" spans="1:49" x14ac:dyDescent="0.25">
      <c r="A557" s="185">
        <v>30553</v>
      </c>
      <c r="B557" s="182" t="s">
        <v>1143</v>
      </c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>
        <f t="shared" si="553"/>
        <v>0</v>
      </c>
      <c r="P557" s="184"/>
      <c r="R557" s="185"/>
      <c r="S557" s="182"/>
      <c r="T557" s="184"/>
      <c r="U557" s="184">
        <v>0</v>
      </c>
      <c r="V557" s="184">
        <v>0</v>
      </c>
      <c r="W557" s="261">
        <v>0</v>
      </c>
      <c r="X557" s="184"/>
      <c r="Y557" s="184"/>
      <c r="Z557" s="184"/>
      <c r="AA557" s="184"/>
      <c r="AB557" s="184"/>
      <c r="AC557" s="184"/>
      <c r="AD557" s="184"/>
      <c r="AE557" s="184"/>
      <c r="AF557" s="261">
        <f t="shared" si="570"/>
        <v>0</v>
      </c>
      <c r="AG557" s="184">
        <f t="shared" si="571"/>
        <v>0</v>
      </c>
      <c r="AI557" s="176" t="e">
        <f t="shared" si="556"/>
        <v>#DIV/0!</v>
      </c>
      <c r="AJ557" s="176" t="e">
        <f t="shared" si="557"/>
        <v>#DIV/0!</v>
      </c>
      <c r="AK557" s="176" t="e">
        <f t="shared" si="558"/>
        <v>#DIV/0!</v>
      </c>
      <c r="AL557" s="176" t="e">
        <f t="shared" si="559"/>
        <v>#DIV/0!</v>
      </c>
      <c r="AM557" s="176" t="e">
        <f t="shared" si="560"/>
        <v>#DIV/0!</v>
      </c>
      <c r="AN557" s="176" t="e">
        <f t="shared" si="561"/>
        <v>#DIV/0!</v>
      </c>
      <c r="AO557" s="176" t="e">
        <f t="shared" si="562"/>
        <v>#DIV/0!</v>
      </c>
      <c r="AP557" s="176" t="e">
        <f t="shared" si="563"/>
        <v>#DIV/0!</v>
      </c>
      <c r="AQ557" s="176" t="e">
        <f t="shared" si="564"/>
        <v>#DIV/0!</v>
      </c>
      <c r="AR557" s="176" t="e">
        <f t="shared" si="565"/>
        <v>#DIV/0!</v>
      </c>
      <c r="AS557" s="176" t="e">
        <f t="shared" si="566"/>
        <v>#DIV/0!</v>
      </c>
      <c r="AT557" s="176" t="e">
        <f t="shared" si="567"/>
        <v>#DIV/0!</v>
      </c>
      <c r="AU557" s="176" t="e">
        <f t="shared" si="568"/>
        <v>#DIV/0!</v>
      </c>
      <c r="AV557" s="176" t="e">
        <f t="shared" si="569"/>
        <v>#DIV/0!</v>
      </c>
    </row>
    <row r="558" spans="1:49" x14ac:dyDescent="0.25">
      <c r="A558" s="185">
        <v>30554</v>
      </c>
      <c r="B558" s="182" t="s">
        <v>1144</v>
      </c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>
        <f t="shared" si="553"/>
        <v>0</v>
      </c>
      <c r="P558" s="184"/>
      <c r="R558" s="185"/>
      <c r="S558" s="182"/>
      <c r="T558" s="184"/>
      <c r="U558" s="184">
        <v>0</v>
      </c>
      <c r="V558" s="184">
        <v>0</v>
      </c>
      <c r="W558" s="261">
        <v>0</v>
      </c>
      <c r="X558" s="184"/>
      <c r="Y558" s="184"/>
      <c r="Z558" s="184"/>
      <c r="AA558" s="184"/>
      <c r="AB558" s="184"/>
      <c r="AC558" s="184"/>
      <c r="AD558" s="184"/>
      <c r="AE558" s="184"/>
      <c r="AF558" s="261">
        <f t="shared" si="570"/>
        <v>0</v>
      </c>
      <c r="AG558" s="184">
        <f t="shared" si="571"/>
        <v>0</v>
      </c>
      <c r="AI558" s="176" t="e">
        <f t="shared" si="556"/>
        <v>#DIV/0!</v>
      </c>
      <c r="AJ558" s="176" t="e">
        <f t="shared" si="557"/>
        <v>#DIV/0!</v>
      </c>
      <c r="AK558" s="176" t="e">
        <f t="shared" si="558"/>
        <v>#DIV/0!</v>
      </c>
      <c r="AL558" s="176" t="e">
        <f t="shared" si="559"/>
        <v>#DIV/0!</v>
      </c>
      <c r="AM558" s="176" t="e">
        <f t="shared" si="560"/>
        <v>#DIV/0!</v>
      </c>
      <c r="AN558" s="176" t="e">
        <f t="shared" si="561"/>
        <v>#DIV/0!</v>
      </c>
      <c r="AO558" s="176" t="e">
        <f t="shared" si="562"/>
        <v>#DIV/0!</v>
      </c>
      <c r="AP558" s="176" t="e">
        <f t="shared" si="563"/>
        <v>#DIV/0!</v>
      </c>
      <c r="AQ558" s="176" t="e">
        <f t="shared" si="564"/>
        <v>#DIV/0!</v>
      </c>
      <c r="AR558" s="176" t="e">
        <f t="shared" si="565"/>
        <v>#DIV/0!</v>
      </c>
      <c r="AS558" s="176" t="e">
        <f t="shared" si="566"/>
        <v>#DIV/0!</v>
      </c>
      <c r="AT558" s="176" t="e">
        <f t="shared" si="567"/>
        <v>#DIV/0!</v>
      </c>
      <c r="AU558" s="176" t="e">
        <f t="shared" si="568"/>
        <v>#DIV/0!</v>
      </c>
      <c r="AV558" s="176" t="e">
        <f t="shared" si="569"/>
        <v>#DIV/0!</v>
      </c>
    </row>
    <row r="559" spans="1:49" x14ac:dyDescent="0.25">
      <c r="A559" s="185">
        <v>30555</v>
      </c>
      <c r="B559" s="182" t="s">
        <v>1145</v>
      </c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>
        <f t="shared" si="553"/>
        <v>0</v>
      </c>
      <c r="P559" s="184"/>
      <c r="R559" s="185"/>
      <c r="S559" s="182"/>
      <c r="T559" s="184"/>
      <c r="U559" s="184">
        <v>0</v>
      </c>
      <c r="V559" s="184">
        <v>0</v>
      </c>
      <c r="W559" s="261">
        <v>0</v>
      </c>
      <c r="X559" s="184"/>
      <c r="Y559" s="184"/>
      <c r="Z559" s="184"/>
      <c r="AA559" s="184"/>
      <c r="AB559" s="184"/>
      <c r="AC559" s="184"/>
      <c r="AD559" s="184"/>
      <c r="AE559" s="184"/>
      <c r="AF559" s="261">
        <f t="shared" si="570"/>
        <v>0</v>
      </c>
      <c r="AG559" s="184">
        <f t="shared" si="571"/>
        <v>0</v>
      </c>
      <c r="AI559" s="176" t="e">
        <f t="shared" si="556"/>
        <v>#DIV/0!</v>
      </c>
      <c r="AJ559" s="176" t="e">
        <f t="shared" si="557"/>
        <v>#DIV/0!</v>
      </c>
      <c r="AK559" s="176" t="e">
        <f t="shared" si="558"/>
        <v>#DIV/0!</v>
      </c>
      <c r="AL559" s="176" t="e">
        <f t="shared" si="559"/>
        <v>#DIV/0!</v>
      </c>
      <c r="AM559" s="176" t="e">
        <f t="shared" si="560"/>
        <v>#DIV/0!</v>
      </c>
      <c r="AN559" s="176" t="e">
        <f t="shared" si="561"/>
        <v>#DIV/0!</v>
      </c>
      <c r="AO559" s="176" t="e">
        <f t="shared" si="562"/>
        <v>#DIV/0!</v>
      </c>
      <c r="AP559" s="176" t="e">
        <f t="shared" si="563"/>
        <v>#DIV/0!</v>
      </c>
      <c r="AQ559" s="176" t="e">
        <f t="shared" si="564"/>
        <v>#DIV/0!</v>
      </c>
      <c r="AR559" s="176" t="e">
        <f t="shared" si="565"/>
        <v>#DIV/0!</v>
      </c>
      <c r="AS559" s="176" t="e">
        <f t="shared" si="566"/>
        <v>#DIV/0!</v>
      </c>
      <c r="AT559" s="176" t="e">
        <f t="shared" si="567"/>
        <v>#DIV/0!</v>
      </c>
      <c r="AU559" s="176" t="e">
        <f t="shared" si="568"/>
        <v>#DIV/0!</v>
      </c>
      <c r="AV559" s="176" t="e">
        <f t="shared" si="569"/>
        <v>#DIV/0!</v>
      </c>
    </row>
    <row r="560" spans="1:49" x14ac:dyDescent="0.25">
      <c r="A560" s="185">
        <v>30556</v>
      </c>
      <c r="B560" s="182" t="s">
        <v>1146</v>
      </c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>
        <f t="shared" si="553"/>
        <v>0</v>
      </c>
      <c r="P560" s="184"/>
      <c r="R560" s="185"/>
      <c r="S560" s="182"/>
      <c r="T560" s="184"/>
      <c r="U560" s="184">
        <v>0</v>
      </c>
      <c r="V560" s="184">
        <v>0</v>
      </c>
      <c r="W560" s="261">
        <v>0</v>
      </c>
      <c r="X560" s="184"/>
      <c r="Y560" s="184"/>
      <c r="Z560" s="184"/>
      <c r="AA560" s="184"/>
      <c r="AB560" s="184"/>
      <c r="AC560" s="184"/>
      <c r="AD560" s="184"/>
      <c r="AE560" s="184"/>
      <c r="AF560" s="261">
        <f t="shared" si="570"/>
        <v>0</v>
      </c>
      <c r="AG560" s="184">
        <f t="shared" si="571"/>
        <v>0</v>
      </c>
      <c r="AI560" s="176" t="e">
        <f t="shared" si="556"/>
        <v>#DIV/0!</v>
      </c>
      <c r="AJ560" s="176" t="e">
        <f t="shared" si="557"/>
        <v>#DIV/0!</v>
      </c>
      <c r="AK560" s="176" t="e">
        <f t="shared" si="558"/>
        <v>#DIV/0!</v>
      </c>
      <c r="AL560" s="176" t="e">
        <f t="shared" si="559"/>
        <v>#DIV/0!</v>
      </c>
      <c r="AM560" s="176" t="e">
        <f t="shared" si="560"/>
        <v>#DIV/0!</v>
      </c>
      <c r="AN560" s="176" t="e">
        <f t="shared" si="561"/>
        <v>#DIV/0!</v>
      </c>
      <c r="AO560" s="176" t="e">
        <f t="shared" si="562"/>
        <v>#DIV/0!</v>
      </c>
      <c r="AP560" s="176" t="e">
        <f t="shared" si="563"/>
        <v>#DIV/0!</v>
      </c>
      <c r="AQ560" s="176" t="e">
        <f t="shared" si="564"/>
        <v>#DIV/0!</v>
      </c>
      <c r="AR560" s="176" t="e">
        <f t="shared" si="565"/>
        <v>#DIV/0!</v>
      </c>
      <c r="AS560" s="176" t="e">
        <f t="shared" si="566"/>
        <v>#DIV/0!</v>
      </c>
      <c r="AT560" s="176" t="e">
        <f t="shared" si="567"/>
        <v>#DIV/0!</v>
      </c>
      <c r="AU560" s="176" t="e">
        <f t="shared" si="568"/>
        <v>#DIV/0!</v>
      </c>
      <c r="AV560" s="176" t="e">
        <f t="shared" si="569"/>
        <v>#DIV/0!</v>
      </c>
    </row>
    <row r="561" spans="1:49" x14ac:dyDescent="0.25">
      <c r="A561" s="185">
        <v>30557</v>
      </c>
      <c r="B561" s="182" t="s">
        <v>1147</v>
      </c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>
        <f t="shared" si="553"/>
        <v>0</v>
      </c>
      <c r="P561" s="184"/>
      <c r="R561" s="185"/>
      <c r="S561" s="182"/>
      <c r="T561" s="184"/>
      <c r="U561" s="184">
        <v>26000000</v>
      </c>
      <c r="V561" s="184">
        <v>0</v>
      </c>
      <c r="W561" s="261">
        <v>0</v>
      </c>
      <c r="X561" s="184"/>
      <c r="Y561" s="184"/>
      <c r="Z561" s="184"/>
      <c r="AA561" s="184"/>
      <c r="AB561" s="184"/>
      <c r="AC561" s="184"/>
      <c r="AD561" s="184"/>
      <c r="AE561" s="184"/>
      <c r="AF561" s="261">
        <f t="shared" si="570"/>
        <v>26000000</v>
      </c>
      <c r="AG561" s="184">
        <f t="shared" si="571"/>
        <v>26000000</v>
      </c>
      <c r="AI561" s="176" t="e">
        <f t="shared" si="556"/>
        <v>#DIV/0!</v>
      </c>
      <c r="AJ561" s="176" t="e">
        <f t="shared" si="557"/>
        <v>#DIV/0!</v>
      </c>
      <c r="AK561" s="176" t="e">
        <f t="shared" si="558"/>
        <v>#DIV/0!</v>
      </c>
      <c r="AL561" s="176" t="e">
        <f t="shared" si="559"/>
        <v>#DIV/0!</v>
      </c>
      <c r="AM561" s="176" t="e">
        <f t="shared" si="560"/>
        <v>#DIV/0!</v>
      </c>
      <c r="AN561" s="176" t="e">
        <f t="shared" si="561"/>
        <v>#DIV/0!</v>
      </c>
      <c r="AO561" s="176" t="e">
        <f t="shared" si="562"/>
        <v>#DIV/0!</v>
      </c>
      <c r="AP561" s="176" t="e">
        <f t="shared" si="563"/>
        <v>#DIV/0!</v>
      </c>
      <c r="AQ561" s="176" t="e">
        <f t="shared" si="564"/>
        <v>#DIV/0!</v>
      </c>
      <c r="AR561" s="176" t="e">
        <f t="shared" si="565"/>
        <v>#DIV/0!</v>
      </c>
      <c r="AS561" s="176" t="e">
        <f t="shared" si="566"/>
        <v>#DIV/0!</v>
      </c>
      <c r="AT561" s="176" t="e">
        <f t="shared" si="567"/>
        <v>#DIV/0!</v>
      </c>
      <c r="AU561" s="176" t="e">
        <f t="shared" si="568"/>
        <v>#DIV/0!</v>
      </c>
      <c r="AV561" s="176" t="e">
        <f t="shared" si="569"/>
        <v>#DIV/0!</v>
      </c>
    </row>
    <row r="562" spans="1:49" x14ac:dyDescent="0.25">
      <c r="A562" s="185">
        <v>30558</v>
      </c>
      <c r="B562" s="182" t="s">
        <v>1148</v>
      </c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>
        <f t="shared" si="553"/>
        <v>0</v>
      </c>
      <c r="P562" s="184"/>
      <c r="R562" s="185"/>
      <c r="S562" s="182"/>
      <c r="T562" s="184"/>
      <c r="U562" s="184">
        <v>26000000</v>
      </c>
      <c r="V562" s="184">
        <v>1094447</v>
      </c>
      <c r="W562" s="261">
        <v>0</v>
      </c>
      <c r="X562" s="184"/>
      <c r="Y562" s="184"/>
      <c r="Z562" s="184"/>
      <c r="AA562" s="184"/>
      <c r="AB562" s="184"/>
      <c r="AC562" s="184"/>
      <c r="AD562" s="184"/>
      <c r="AE562" s="184"/>
      <c r="AF562" s="261">
        <f t="shared" si="570"/>
        <v>27094447</v>
      </c>
      <c r="AG562" s="184">
        <f t="shared" si="571"/>
        <v>27094447</v>
      </c>
      <c r="AI562" s="176" t="e">
        <f t="shared" si="556"/>
        <v>#DIV/0!</v>
      </c>
      <c r="AJ562" s="176" t="e">
        <f t="shared" si="557"/>
        <v>#DIV/0!</v>
      </c>
      <c r="AK562" s="176" t="e">
        <f t="shared" si="558"/>
        <v>#DIV/0!</v>
      </c>
      <c r="AL562" s="176" t="e">
        <f t="shared" si="559"/>
        <v>#DIV/0!</v>
      </c>
      <c r="AM562" s="176" t="e">
        <f t="shared" si="560"/>
        <v>#DIV/0!</v>
      </c>
      <c r="AN562" s="176" t="e">
        <f t="shared" si="561"/>
        <v>#DIV/0!</v>
      </c>
      <c r="AO562" s="176" t="e">
        <f t="shared" si="562"/>
        <v>#DIV/0!</v>
      </c>
      <c r="AP562" s="176" t="e">
        <f t="shared" si="563"/>
        <v>#DIV/0!</v>
      </c>
      <c r="AQ562" s="176" t="e">
        <f t="shared" si="564"/>
        <v>#DIV/0!</v>
      </c>
      <c r="AR562" s="176" t="e">
        <f t="shared" si="565"/>
        <v>#DIV/0!</v>
      </c>
      <c r="AS562" s="176" t="e">
        <f t="shared" si="566"/>
        <v>#DIV/0!</v>
      </c>
      <c r="AT562" s="176" t="e">
        <f t="shared" si="567"/>
        <v>#DIV/0!</v>
      </c>
      <c r="AU562" s="176" t="e">
        <f t="shared" si="568"/>
        <v>#DIV/0!</v>
      </c>
      <c r="AV562" s="176" t="e">
        <f t="shared" si="569"/>
        <v>#DIV/0!</v>
      </c>
    </row>
    <row r="563" spans="1:49" x14ac:dyDescent="0.25">
      <c r="A563" s="185">
        <v>30559</v>
      </c>
      <c r="B563" s="182" t="s">
        <v>1149</v>
      </c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>
        <f t="shared" si="553"/>
        <v>0</v>
      </c>
      <c r="P563" s="184"/>
      <c r="R563" s="185"/>
      <c r="S563" s="182"/>
      <c r="T563" s="184"/>
      <c r="U563" s="184">
        <v>0</v>
      </c>
      <c r="V563" s="184">
        <v>0</v>
      </c>
      <c r="W563" s="261">
        <v>0</v>
      </c>
      <c r="X563" s="184"/>
      <c r="Y563" s="184"/>
      <c r="Z563" s="184"/>
      <c r="AA563" s="184"/>
      <c r="AB563" s="184"/>
      <c r="AC563" s="184"/>
      <c r="AD563" s="184"/>
      <c r="AE563" s="184"/>
      <c r="AF563" s="261">
        <f t="shared" si="570"/>
        <v>0</v>
      </c>
      <c r="AG563" s="184">
        <f t="shared" si="571"/>
        <v>0</v>
      </c>
      <c r="AI563" s="176" t="e">
        <f t="shared" si="556"/>
        <v>#DIV/0!</v>
      </c>
      <c r="AJ563" s="176" t="e">
        <f t="shared" si="557"/>
        <v>#DIV/0!</v>
      </c>
      <c r="AK563" s="176" t="e">
        <f t="shared" si="558"/>
        <v>#DIV/0!</v>
      </c>
      <c r="AL563" s="176" t="e">
        <f t="shared" si="559"/>
        <v>#DIV/0!</v>
      </c>
      <c r="AM563" s="176" t="e">
        <f t="shared" si="560"/>
        <v>#DIV/0!</v>
      </c>
      <c r="AN563" s="176" t="e">
        <f t="shared" si="561"/>
        <v>#DIV/0!</v>
      </c>
      <c r="AO563" s="176" t="e">
        <f t="shared" si="562"/>
        <v>#DIV/0!</v>
      </c>
      <c r="AP563" s="176" t="e">
        <f t="shared" si="563"/>
        <v>#DIV/0!</v>
      </c>
      <c r="AQ563" s="176" t="e">
        <f t="shared" si="564"/>
        <v>#DIV/0!</v>
      </c>
      <c r="AR563" s="176" t="e">
        <f t="shared" si="565"/>
        <v>#DIV/0!</v>
      </c>
      <c r="AS563" s="176" t="e">
        <f t="shared" si="566"/>
        <v>#DIV/0!</v>
      </c>
      <c r="AT563" s="176" t="e">
        <f t="shared" si="567"/>
        <v>#DIV/0!</v>
      </c>
      <c r="AU563" s="176" t="e">
        <f t="shared" si="568"/>
        <v>#DIV/0!</v>
      </c>
      <c r="AV563" s="176" t="e">
        <f t="shared" si="569"/>
        <v>#DIV/0!</v>
      </c>
    </row>
    <row r="564" spans="1:49" x14ac:dyDescent="0.25">
      <c r="A564" s="185">
        <v>30560</v>
      </c>
      <c r="B564" s="259" t="s">
        <v>1320</v>
      </c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>
        <f t="shared" si="553"/>
        <v>0</v>
      </c>
      <c r="P564" s="261"/>
      <c r="R564" s="185"/>
      <c r="S564" s="259"/>
      <c r="T564" s="261"/>
      <c r="U564" s="261"/>
      <c r="V564" s="261"/>
      <c r="W564" s="261">
        <v>0</v>
      </c>
      <c r="X564" s="261"/>
      <c r="Y564" s="261"/>
      <c r="Z564" s="261"/>
      <c r="AA564" s="261"/>
      <c r="AB564" s="261"/>
      <c r="AC564" s="261"/>
      <c r="AD564" s="261"/>
      <c r="AE564" s="261"/>
      <c r="AF564" s="261">
        <f t="shared" si="570"/>
        <v>0</v>
      </c>
      <c r="AG564" s="261">
        <f t="shared" si="571"/>
        <v>0</v>
      </c>
      <c r="AI564" s="176" t="e">
        <f t="shared" si="556"/>
        <v>#DIV/0!</v>
      </c>
      <c r="AJ564" s="176" t="e">
        <f t="shared" si="557"/>
        <v>#DIV/0!</v>
      </c>
      <c r="AK564" s="176" t="e">
        <f t="shared" si="558"/>
        <v>#DIV/0!</v>
      </c>
      <c r="AL564" s="176" t="e">
        <f t="shared" si="559"/>
        <v>#DIV/0!</v>
      </c>
      <c r="AM564" s="176" t="e">
        <f t="shared" si="560"/>
        <v>#DIV/0!</v>
      </c>
      <c r="AN564" s="176" t="e">
        <f t="shared" si="561"/>
        <v>#DIV/0!</v>
      </c>
      <c r="AO564" s="176" t="e">
        <f t="shared" si="562"/>
        <v>#DIV/0!</v>
      </c>
      <c r="AP564" s="176" t="e">
        <f t="shared" si="563"/>
        <v>#DIV/0!</v>
      </c>
      <c r="AQ564" s="176" t="e">
        <f t="shared" si="564"/>
        <v>#DIV/0!</v>
      </c>
      <c r="AR564" s="176" t="e">
        <f t="shared" si="565"/>
        <v>#DIV/0!</v>
      </c>
      <c r="AS564" s="176" t="e">
        <f t="shared" si="566"/>
        <v>#DIV/0!</v>
      </c>
      <c r="AT564" s="176" t="e">
        <f t="shared" si="567"/>
        <v>#DIV/0!</v>
      </c>
      <c r="AU564" s="176" t="e">
        <f t="shared" si="568"/>
        <v>#DIV/0!</v>
      </c>
      <c r="AV564" s="176" t="e">
        <f t="shared" si="569"/>
        <v>#DIV/0!</v>
      </c>
      <c r="AW564" s="257"/>
    </row>
    <row r="565" spans="1:49" x14ac:dyDescent="0.25">
      <c r="A565" s="185">
        <v>30561</v>
      </c>
      <c r="B565" s="259" t="s">
        <v>1321</v>
      </c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>
        <f t="shared" si="553"/>
        <v>0</v>
      </c>
      <c r="P565" s="261"/>
      <c r="R565" s="185"/>
      <c r="S565" s="259"/>
      <c r="T565" s="261"/>
      <c r="U565" s="261"/>
      <c r="V565" s="261"/>
      <c r="W565" s="261">
        <v>0</v>
      </c>
      <c r="X565" s="261"/>
      <c r="Y565" s="261"/>
      <c r="Z565" s="261"/>
      <c r="AA565" s="261"/>
      <c r="AB565" s="261"/>
      <c r="AC565" s="261"/>
      <c r="AD565" s="261"/>
      <c r="AE565" s="261"/>
      <c r="AF565" s="261">
        <f t="shared" si="570"/>
        <v>0</v>
      </c>
      <c r="AG565" s="261">
        <f t="shared" si="571"/>
        <v>0</v>
      </c>
      <c r="AI565" s="176" t="e">
        <f t="shared" si="556"/>
        <v>#DIV/0!</v>
      </c>
      <c r="AJ565" s="176" t="e">
        <f t="shared" si="557"/>
        <v>#DIV/0!</v>
      </c>
      <c r="AK565" s="176" t="e">
        <f t="shared" si="558"/>
        <v>#DIV/0!</v>
      </c>
      <c r="AL565" s="176" t="e">
        <f t="shared" si="559"/>
        <v>#DIV/0!</v>
      </c>
      <c r="AM565" s="176" t="e">
        <f t="shared" si="560"/>
        <v>#DIV/0!</v>
      </c>
      <c r="AN565" s="176" t="e">
        <f t="shared" si="561"/>
        <v>#DIV/0!</v>
      </c>
      <c r="AO565" s="176" t="e">
        <f t="shared" si="562"/>
        <v>#DIV/0!</v>
      </c>
      <c r="AP565" s="176" t="e">
        <f t="shared" si="563"/>
        <v>#DIV/0!</v>
      </c>
      <c r="AQ565" s="176" t="e">
        <f t="shared" si="564"/>
        <v>#DIV/0!</v>
      </c>
      <c r="AR565" s="176" t="e">
        <f t="shared" si="565"/>
        <v>#DIV/0!</v>
      </c>
      <c r="AS565" s="176" t="e">
        <f t="shared" si="566"/>
        <v>#DIV/0!</v>
      </c>
      <c r="AT565" s="176" t="e">
        <f t="shared" si="567"/>
        <v>#DIV/0!</v>
      </c>
      <c r="AU565" s="176" t="e">
        <f t="shared" si="568"/>
        <v>#DIV/0!</v>
      </c>
      <c r="AV565" s="176" t="e">
        <f t="shared" si="569"/>
        <v>#DIV/0!</v>
      </c>
      <c r="AW565" s="257"/>
    </row>
    <row r="566" spans="1:49" x14ac:dyDescent="0.25">
      <c r="A566" s="185">
        <v>30562</v>
      </c>
      <c r="B566" s="259" t="s">
        <v>1322</v>
      </c>
      <c r="C566" s="261"/>
      <c r="D566" s="261"/>
      <c r="E566" s="261"/>
      <c r="F566" s="261"/>
      <c r="G566" s="261"/>
      <c r="H566" s="261"/>
      <c r="I566" s="261"/>
      <c r="J566" s="261"/>
      <c r="K566" s="261"/>
      <c r="L566" s="261"/>
      <c r="M566" s="261"/>
      <c r="N566" s="261"/>
      <c r="O566" s="261">
        <f t="shared" si="553"/>
        <v>0</v>
      </c>
      <c r="P566" s="261"/>
      <c r="R566" s="185"/>
      <c r="S566" s="259"/>
      <c r="T566" s="261"/>
      <c r="U566" s="261"/>
      <c r="V566" s="261"/>
      <c r="W566" s="261">
        <v>0</v>
      </c>
      <c r="X566" s="261"/>
      <c r="Y566" s="261"/>
      <c r="Z566" s="261"/>
      <c r="AA566" s="261"/>
      <c r="AB566" s="261"/>
      <c r="AC566" s="261"/>
      <c r="AD566" s="261"/>
      <c r="AE566" s="261"/>
      <c r="AF566" s="261">
        <f t="shared" si="570"/>
        <v>0</v>
      </c>
      <c r="AG566" s="261">
        <f t="shared" si="571"/>
        <v>0</v>
      </c>
      <c r="AI566" s="176" t="e">
        <f t="shared" si="556"/>
        <v>#DIV/0!</v>
      </c>
      <c r="AJ566" s="176" t="e">
        <f t="shared" si="557"/>
        <v>#DIV/0!</v>
      </c>
      <c r="AK566" s="176" t="e">
        <f t="shared" si="558"/>
        <v>#DIV/0!</v>
      </c>
      <c r="AL566" s="176" t="e">
        <f t="shared" si="559"/>
        <v>#DIV/0!</v>
      </c>
      <c r="AM566" s="176" t="e">
        <f t="shared" si="560"/>
        <v>#DIV/0!</v>
      </c>
      <c r="AN566" s="176" t="e">
        <f t="shared" si="561"/>
        <v>#DIV/0!</v>
      </c>
      <c r="AO566" s="176" t="e">
        <f t="shared" si="562"/>
        <v>#DIV/0!</v>
      </c>
      <c r="AP566" s="176" t="e">
        <f t="shared" si="563"/>
        <v>#DIV/0!</v>
      </c>
      <c r="AQ566" s="176" t="e">
        <f t="shared" si="564"/>
        <v>#DIV/0!</v>
      </c>
      <c r="AR566" s="176" t="e">
        <f t="shared" si="565"/>
        <v>#DIV/0!</v>
      </c>
      <c r="AS566" s="176" t="e">
        <f t="shared" si="566"/>
        <v>#DIV/0!</v>
      </c>
      <c r="AT566" s="176" t="e">
        <f t="shared" si="567"/>
        <v>#DIV/0!</v>
      </c>
      <c r="AU566" s="176" t="e">
        <f t="shared" si="568"/>
        <v>#DIV/0!</v>
      </c>
      <c r="AV566" s="176" t="e">
        <f t="shared" si="569"/>
        <v>#DIV/0!</v>
      </c>
      <c r="AW566" s="257"/>
    </row>
    <row r="567" spans="1:49" x14ac:dyDescent="0.25">
      <c r="A567" s="185">
        <v>30563</v>
      </c>
      <c r="B567" s="259" t="s">
        <v>1323</v>
      </c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>
        <f t="shared" si="553"/>
        <v>0</v>
      </c>
      <c r="P567" s="261"/>
      <c r="R567" s="185"/>
      <c r="S567" s="259"/>
      <c r="T567" s="261"/>
      <c r="U567" s="261"/>
      <c r="V567" s="261"/>
      <c r="W567" s="261">
        <v>0</v>
      </c>
      <c r="X567" s="261"/>
      <c r="Y567" s="261"/>
      <c r="Z567" s="261"/>
      <c r="AA567" s="261"/>
      <c r="AB567" s="261"/>
      <c r="AC567" s="261"/>
      <c r="AD567" s="261"/>
      <c r="AE567" s="261"/>
      <c r="AF567" s="261">
        <f t="shared" si="570"/>
        <v>0</v>
      </c>
      <c r="AG567" s="261">
        <f t="shared" si="571"/>
        <v>0</v>
      </c>
      <c r="AI567" s="176" t="e">
        <f t="shared" si="556"/>
        <v>#DIV/0!</v>
      </c>
      <c r="AJ567" s="176" t="e">
        <f t="shared" si="557"/>
        <v>#DIV/0!</v>
      </c>
      <c r="AK567" s="176" t="e">
        <f t="shared" si="558"/>
        <v>#DIV/0!</v>
      </c>
      <c r="AL567" s="176" t="e">
        <f t="shared" si="559"/>
        <v>#DIV/0!</v>
      </c>
      <c r="AM567" s="176" t="e">
        <f t="shared" si="560"/>
        <v>#DIV/0!</v>
      </c>
      <c r="AN567" s="176" t="e">
        <f t="shared" si="561"/>
        <v>#DIV/0!</v>
      </c>
      <c r="AO567" s="176" t="e">
        <f t="shared" si="562"/>
        <v>#DIV/0!</v>
      </c>
      <c r="AP567" s="176" t="e">
        <f t="shared" si="563"/>
        <v>#DIV/0!</v>
      </c>
      <c r="AQ567" s="176" t="e">
        <f t="shared" si="564"/>
        <v>#DIV/0!</v>
      </c>
      <c r="AR567" s="176" t="e">
        <f t="shared" si="565"/>
        <v>#DIV/0!</v>
      </c>
      <c r="AS567" s="176" t="e">
        <f t="shared" si="566"/>
        <v>#DIV/0!</v>
      </c>
      <c r="AT567" s="176" t="e">
        <f t="shared" si="567"/>
        <v>#DIV/0!</v>
      </c>
      <c r="AU567" s="176" t="e">
        <f t="shared" si="568"/>
        <v>#DIV/0!</v>
      </c>
      <c r="AV567" s="176" t="e">
        <f t="shared" si="569"/>
        <v>#DIV/0!</v>
      </c>
      <c r="AW567" s="257"/>
    </row>
    <row r="568" spans="1:49" x14ac:dyDescent="0.25">
      <c r="A568" s="185">
        <v>30564</v>
      </c>
      <c r="B568" s="259" t="s">
        <v>1324</v>
      </c>
      <c r="C568" s="261"/>
      <c r="D568" s="261"/>
      <c r="E568" s="261"/>
      <c r="F568" s="261"/>
      <c r="G568" s="261"/>
      <c r="H568" s="261"/>
      <c r="I568" s="261"/>
      <c r="J568" s="261"/>
      <c r="K568" s="261"/>
      <c r="L568" s="261"/>
      <c r="M568" s="261"/>
      <c r="N568" s="261"/>
      <c r="O568" s="261">
        <f t="shared" si="553"/>
        <v>0</v>
      </c>
      <c r="P568" s="261"/>
      <c r="R568" s="185"/>
      <c r="S568" s="259"/>
      <c r="T568" s="261"/>
      <c r="U568" s="261"/>
      <c r="V568" s="261"/>
      <c r="W568" s="261">
        <v>0</v>
      </c>
      <c r="X568" s="261"/>
      <c r="Y568" s="261"/>
      <c r="Z568" s="261"/>
      <c r="AA568" s="261"/>
      <c r="AB568" s="261"/>
      <c r="AC568" s="261"/>
      <c r="AD568" s="261"/>
      <c r="AE568" s="261"/>
      <c r="AF568" s="261">
        <f t="shared" si="570"/>
        <v>0</v>
      </c>
      <c r="AG568" s="261">
        <f t="shared" si="571"/>
        <v>0</v>
      </c>
      <c r="AI568" s="176" t="e">
        <f t="shared" si="556"/>
        <v>#DIV/0!</v>
      </c>
      <c r="AJ568" s="176" t="e">
        <f t="shared" si="557"/>
        <v>#DIV/0!</v>
      </c>
      <c r="AK568" s="176" t="e">
        <f t="shared" si="558"/>
        <v>#DIV/0!</v>
      </c>
      <c r="AL568" s="176" t="e">
        <f t="shared" si="559"/>
        <v>#DIV/0!</v>
      </c>
      <c r="AM568" s="176" t="e">
        <f t="shared" si="560"/>
        <v>#DIV/0!</v>
      </c>
      <c r="AN568" s="176" t="e">
        <f t="shared" si="561"/>
        <v>#DIV/0!</v>
      </c>
      <c r="AO568" s="176" t="e">
        <f t="shared" si="562"/>
        <v>#DIV/0!</v>
      </c>
      <c r="AP568" s="176" t="e">
        <f t="shared" si="563"/>
        <v>#DIV/0!</v>
      </c>
      <c r="AQ568" s="176" t="e">
        <f t="shared" si="564"/>
        <v>#DIV/0!</v>
      </c>
      <c r="AR568" s="176" t="e">
        <f t="shared" si="565"/>
        <v>#DIV/0!</v>
      </c>
      <c r="AS568" s="176" t="e">
        <f t="shared" si="566"/>
        <v>#DIV/0!</v>
      </c>
      <c r="AT568" s="176" t="e">
        <f t="shared" si="567"/>
        <v>#DIV/0!</v>
      </c>
      <c r="AU568" s="176" t="e">
        <f t="shared" si="568"/>
        <v>#DIV/0!</v>
      </c>
      <c r="AV568" s="176" t="e">
        <f t="shared" si="569"/>
        <v>#DIV/0!</v>
      </c>
      <c r="AW568" s="257"/>
    </row>
    <row r="569" spans="1:49" x14ac:dyDescent="0.25">
      <c r="A569" s="185">
        <v>30565</v>
      </c>
      <c r="B569" s="259" t="s">
        <v>1325</v>
      </c>
      <c r="C569" s="261"/>
      <c r="D569" s="261"/>
      <c r="E569" s="261"/>
      <c r="F569" s="261"/>
      <c r="G569" s="261"/>
      <c r="H569" s="261"/>
      <c r="I569" s="261"/>
      <c r="J569" s="261"/>
      <c r="K569" s="261"/>
      <c r="L569" s="261"/>
      <c r="M569" s="261"/>
      <c r="N569" s="261"/>
      <c r="O569" s="261">
        <f t="shared" si="553"/>
        <v>0</v>
      </c>
      <c r="P569" s="261"/>
      <c r="R569" s="185"/>
      <c r="S569" s="259"/>
      <c r="T569" s="261"/>
      <c r="U569" s="261"/>
      <c r="V569" s="261"/>
      <c r="W569" s="261">
        <v>0</v>
      </c>
      <c r="X569" s="261"/>
      <c r="Y569" s="261"/>
      <c r="Z569" s="261"/>
      <c r="AA569" s="261"/>
      <c r="AB569" s="261"/>
      <c r="AC569" s="261"/>
      <c r="AD569" s="261"/>
      <c r="AE569" s="261"/>
      <c r="AF569" s="261">
        <f t="shared" si="570"/>
        <v>0</v>
      </c>
      <c r="AG569" s="261">
        <f t="shared" si="571"/>
        <v>0</v>
      </c>
      <c r="AI569" s="176" t="e">
        <f t="shared" si="556"/>
        <v>#DIV/0!</v>
      </c>
      <c r="AJ569" s="176" t="e">
        <f t="shared" si="557"/>
        <v>#DIV/0!</v>
      </c>
      <c r="AK569" s="176" t="e">
        <f t="shared" si="558"/>
        <v>#DIV/0!</v>
      </c>
      <c r="AL569" s="176" t="e">
        <f t="shared" si="559"/>
        <v>#DIV/0!</v>
      </c>
      <c r="AM569" s="176" t="e">
        <f t="shared" si="560"/>
        <v>#DIV/0!</v>
      </c>
      <c r="AN569" s="176" t="e">
        <f t="shared" si="561"/>
        <v>#DIV/0!</v>
      </c>
      <c r="AO569" s="176" t="e">
        <f t="shared" si="562"/>
        <v>#DIV/0!</v>
      </c>
      <c r="AP569" s="176" t="e">
        <f t="shared" si="563"/>
        <v>#DIV/0!</v>
      </c>
      <c r="AQ569" s="176" t="e">
        <f t="shared" si="564"/>
        <v>#DIV/0!</v>
      </c>
      <c r="AR569" s="176" t="e">
        <f t="shared" si="565"/>
        <v>#DIV/0!</v>
      </c>
      <c r="AS569" s="176" t="e">
        <f t="shared" si="566"/>
        <v>#DIV/0!</v>
      </c>
      <c r="AT569" s="176" t="e">
        <f t="shared" si="567"/>
        <v>#DIV/0!</v>
      </c>
      <c r="AU569" s="176" t="e">
        <f t="shared" si="568"/>
        <v>#DIV/0!</v>
      </c>
      <c r="AV569" s="176" t="e">
        <f t="shared" si="569"/>
        <v>#DIV/0!</v>
      </c>
      <c r="AW569" s="257"/>
    </row>
    <row r="570" spans="1:49" x14ac:dyDescent="0.25">
      <c r="A570" s="185">
        <v>30566</v>
      </c>
      <c r="B570" s="259" t="s">
        <v>1326</v>
      </c>
      <c r="C570" s="261"/>
      <c r="D570" s="261"/>
      <c r="E570" s="261"/>
      <c r="F570" s="261"/>
      <c r="G570" s="261"/>
      <c r="H570" s="261"/>
      <c r="I570" s="261"/>
      <c r="J570" s="261"/>
      <c r="K570" s="261"/>
      <c r="L570" s="261"/>
      <c r="M570" s="261"/>
      <c r="N570" s="261"/>
      <c r="O570" s="261">
        <f t="shared" si="553"/>
        <v>0</v>
      </c>
      <c r="P570" s="261"/>
      <c r="R570" s="185"/>
      <c r="S570" s="259"/>
      <c r="T570" s="261"/>
      <c r="U570" s="261"/>
      <c r="V570" s="261"/>
      <c r="W570" s="261">
        <v>0</v>
      </c>
      <c r="X570" s="261"/>
      <c r="Y570" s="261"/>
      <c r="Z570" s="261"/>
      <c r="AA570" s="261"/>
      <c r="AB570" s="261"/>
      <c r="AC570" s="261"/>
      <c r="AD570" s="261"/>
      <c r="AE570" s="261"/>
      <c r="AF570" s="261">
        <f t="shared" si="570"/>
        <v>0</v>
      </c>
      <c r="AG570" s="261">
        <f t="shared" si="571"/>
        <v>0</v>
      </c>
      <c r="AI570" s="176" t="e">
        <f t="shared" ref="AI570:AI615" si="572">(C570-T570)/C570</f>
        <v>#DIV/0!</v>
      </c>
      <c r="AJ570" s="176" t="e">
        <f t="shared" ref="AJ570:AJ615" si="573">(D570-U570)/D570</f>
        <v>#DIV/0!</v>
      </c>
      <c r="AK570" s="176" t="e">
        <f t="shared" ref="AK570:AK615" si="574">(E570-V570)/E570</f>
        <v>#DIV/0!</v>
      </c>
      <c r="AL570" s="176" t="e">
        <f t="shared" ref="AL570:AL615" si="575">(F570-W570)/F570</f>
        <v>#DIV/0!</v>
      </c>
      <c r="AM570" s="176" t="e">
        <f t="shared" ref="AM570:AM615" si="576">(G570-X570)/G570</f>
        <v>#DIV/0!</v>
      </c>
      <c r="AN570" s="176" t="e">
        <f t="shared" ref="AN570:AN615" si="577">(H570-Y570)/H570</f>
        <v>#DIV/0!</v>
      </c>
      <c r="AO570" s="176" t="e">
        <f t="shared" ref="AO570:AO615" si="578">(I570-Z570)/I570</f>
        <v>#DIV/0!</v>
      </c>
      <c r="AP570" s="176" t="e">
        <f t="shared" ref="AP570:AP615" si="579">(J570-AA570)/J570</f>
        <v>#DIV/0!</v>
      </c>
      <c r="AQ570" s="176" t="e">
        <f t="shared" ref="AQ570:AQ615" si="580">(K570-AB570)/K570</f>
        <v>#DIV/0!</v>
      </c>
      <c r="AR570" s="176" t="e">
        <f t="shared" ref="AR570:AR615" si="581">(L570-AC570)/L570</f>
        <v>#DIV/0!</v>
      </c>
      <c r="AS570" s="176" t="e">
        <f t="shared" ref="AS570:AS615" si="582">(M570-AD570)/M570</f>
        <v>#DIV/0!</v>
      </c>
      <c r="AT570" s="176" t="e">
        <f t="shared" ref="AT570:AT615" si="583">(N570-AE570)/N570</f>
        <v>#DIV/0!</v>
      </c>
      <c r="AU570" s="176" t="e">
        <f t="shared" ref="AU570:AU615" si="584">(O570-AF570)/O570</f>
        <v>#DIV/0!</v>
      </c>
      <c r="AV570" s="176" t="e">
        <f t="shared" ref="AV570:AV615" si="585">(P570-AG570)/P570</f>
        <v>#DIV/0!</v>
      </c>
      <c r="AW570" s="257"/>
    </row>
    <row r="571" spans="1:49" x14ac:dyDescent="0.25">
      <c r="A571" s="185">
        <v>30567</v>
      </c>
      <c r="B571" s="259" t="s">
        <v>1327</v>
      </c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>
        <f t="shared" si="553"/>
        <v>0</v>
      </c>
      <c r="P571" s="261"/>
      <c r="R571" s="185"/>
      <c r="S571" s="259"/>
      <c r="T571" s="261"/>
      <c r="U571" s="261"/>
      <c r="V571" s="261"/>
      <c r="W571" s="261">
        <v>0</v>
      </c>
      <c r="X571" s="261"/>
      <c r="Y571" s="261"/>
      <c r="Z571" s="261"/>
      <c r="AA571" s="261"/>
      <c r="AB571" s="261"/>
      <c r="AC571" s="261"/>
      <c r="AD571" s="261"/>
      <c r="AE571" s="261"/>
      <c r="AF571" s="261">
        <f t="shared" si="570"/>
        <v>0</v>
      </c>
      <c r="AG571" s="261">
        <f t="shared" si="571"/>
        <v>0</v>
      </c>
      <c r="AI571" s="176" t="e">
        <f t="shared" si="572"/>
        <v>#DIV/0!</v>
      </c>
      <c r="AJ571" s="176" t="e">
        <f t="shared" si="573"/>
        <v>#DIV/0!</v>
      </c>
      <c r="AK571" s="176" t="e">
        <f t="shared" si="574"/>
        <v>#DIV/0!</v>
      </c>
      <c r="AL571" s="176" t="e">
        <f t="shared" si="575"/>
        <v>#DIV/0!</v>
      </c>
      <c r="AM571" s="176" t="e">
        <f t="shared" si="576"/>
        <v>#DIV/0!</v>
      </c>
      <c r="AN571" s="176" t="e">
        <f t="shared" si="577"/>
        <v>#DIV/0!</v>
      </c>
      <c r="AO571" s="176" t="e">
        <f t="shared" si="578"/>
        <v>#DIV/0!</v>
      </c>
      <c r="AP571" s="176" t="e">
        <f t="shared" si="579"/>
        <v>#DIV/0!</v>
      </c>
      <c r="AQ571" s="176" t="e">
        <f t="shared" si="580"/>
        <v>#DIV/0!</v>
      </c>
      <c r="AR571" s="176" t="e">
        <f t="shared" si="581"/>
        <v>#DIV/0!</v>
      </c>
      <c r="AS571" s="176" t="e">
        <f t="shared" si="582"/>
        <v>#DIV/0!</v>
      </c>
      <c r="AT571" s="176" t="e">
        <f t="shared" si="583"/>
        <v>#DIV/0!</v>
      </c>
      <c r="AU571" s="176" t="e">
        <f t="shared" si="584"/>
        <v>#DIV/0!</v>
      </c>
      <c r="AV571" s="176" t="e">
        <f t="shared" si="585"/>
        <v>#DIV/0!</v>
      </c>
      <c r="AW571" s="257"/>
    </row>
    <row r="572" spans="1:49" x14ac:dyDescent="0.25">
      <c r="A572" s="185">
        <v>30568</v>
      </c>
      <c r="B572" s="259" t="s">
        <v>1328</v>
      </c>
      <c r="C572" s="261"/>
      <c r="D572" s="261"/>
      <c r="E572" s="261"/>
      <c r="F572" s="261"/>
      <c r="G572" s="261"/>
      <c r="H572" s="261"/>
      <c r="I572" s="261"/>
      <c r="J572" s="261"/>
      <c r="K572" s="261"/>
      <c r="L572" s="261"/>
      <c r="M572" s="261"/>
      <c r="N572" s="261"/>
      <c r="O572" s="261">
        <f t="shared" si="553"/>
        <v>0</v>
      </c>
      <c r="P572" s="261"/>
      <c r="R572" s="185"/>
      <c r="S572" s="259"/>
      <c r="T572" s="261"/>
      <c r="U572" s="261"/>
      <c r="V572" s="261"/>
      <c r="W572" s="261">
        <v>0</v>
      </c>
      <c r="X572" s="261"/>
      <c r="Y572" s="261"/>
      <c r="Z572" s="261"/>
      <c r="AA572" s="261"/>
      <c r="AB572" s="261"/>
      <c r="AC572" s="261"/>
      <c r="AD572" s="261"/>
      <c r="AE572" s="261"/>
      <c r="AF572" s="261">
        <f t="shared" si="570"/>
        <v>0</v>
      </c>
      <c r="AG572" s="261">
        <f t="shared" si="571"/>
        <v>0</v>
      </c>
      <c r="AI572" s="176" t="e">
        <f t="shared" si="572"/>
        <v>#DIV/0!</v>
      </c>
      <c r="AJ572" s="176" t="e">
        <f t="shared" si="573"/>
        <v>#DIV/0!</v>
      </c>
      <c r="AK572" s="176" t="e">
        <f t="shared" si="574"/>
        <v>#DIV/0!</v>
      </c>
      <c r="AL572" s="176" t="e">
        <f t="shared" si="575"/>
        <v>#DIV/0!</v>
      </c>
      <c r="AM572" s="176" t="e">
        <f t="shared" si="576"/>
        <v>#DIV/0!</v>
      </c>
      <c r="AN572" s="176" t="e">
        <f t="shared" si="577"/>
        <v>#DIV/0!</v>
      </c>
      <c r="AO572" s="176" t="e">
        <f t="shared" si="578"/>
        <v>#DIV/0!</v>
      </c>
      <c r="AP572" s="176" t="e">
        <f t="shared" si="579"/>
        <v>#DIV/0!</v>
      </c>
      <c r="AQ572" s="176" t="e">
        <f t="shared" si="580"/>
        <v>#DIV/0!</v>
      </c>
      <c r="AR572" s="176" t="e">
        <f t="shared" si="581"/>
        <v>#DIV/0!</v>
      </c>
      <c r="AS572" s="176" t="e">
        <f t="shared" si="582"/>
        <v>#DIV/0!</v>
      </c>
      <c r="AT572" s="176" t="e">
        <f t="shared" si="583"/>
        <v>#DIV/0!</v>
      </c>
      <c r="AU572" s="176" t="e">
        <f t="shared" si="584"/>
        <v>#DIV/0!</v>
      </c>
      <c r="AV572" s="176" t="e">
        <f t="shared" si="585"/>
        <v>#DIV/0!</v>
      </c>
      <c r="AW572" s="257"/>
    </row>
    <row r="573" spans="1:49" x14ac:dyDescent="0.25">
      <c r="A573" s="185">
        <v>30569</v>
      </c>
      <c r="B573" s="259" t="s">
        <v>1329</v>
      </c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>
        <f t="shared" si="553"/>
        <v>0</v>
      </c>
      <c r="P573" s="261"/>
      <c r="R573" s="185"/>
      <c r="S573" s="259"/>
      <c r="T573" s="261"/>
      <c r="U573" s="261"/>
      <c r="V573" s="261"/>
      <c r="W573" s="261">
        <v>0</v>
      </c>
      <c r="X573" s="261"/>
      <c r="Y573" s="261"/>
      <c r="Z573" s="261"/>
      <c r="AA573" s="261"/>
      <c r="AB573" s="261"/>
      <c r="AC573" s="261"/>
      <c r="AD573" s="261"/>
      <c r="AE573" s="261"/>
      <c r="AF573" s="261">
        <f t="shared" si="570"/>
        <v>0</v>
      </c>
      <c r="AG573" s="261">
        <f t="shared" si="571"/>
        <v>0</v>
      </c>
      <c r="AI573" s="176" t="e">
        <f t="shared" si="572"/>
        <v>#DIV/0!</v>
      </c>
      <c r="AJ573" s="176" t="e">
        <f t="shared" si="573"/>
        <v>#DIV/0!</v>
      </c>
      <c r="AK573" s="176" t="e">
        <f t="shared" si="574"/>
        <v>#DIV/0!</v>
      </c>
      <c r="AL573" s="176" t="e">
        <f t="shared" si="575"/>
        <v>#DIV/0!</v>
      </c>
      <c r="AM573" s="176" t="e">
        <f t="shared" si="576"/>
        <v>#DIV/0!</v>
      </c>
      <c r="AN573" s="176" t="e">
        <f t="shared" si="577"/>
        <v>#DIV/0!</v>
      </c>
      <c r="AO573" s="176" t="e">
        <f t="shared" si="578"/>
        <v>#DIV/0!</v>
      </c>
      <c r="AP573" s="176" t="e">
        <f t="shared" si="579"/>
        <v>#DIV/0!</v>
      </c>
      <c r="AQ573" s="176" t="e">
        <f t="shared" si="580"/>
        <v>#DIV/0!</v>
      </c>
      <c r="AR573" s="176" t="e">
        <f t="shared" si="581"/>
        <v>#DIV/0!</v>
      </c>
      <c r="AS573" s="176" t="e">
        <f t="shared" si="582"/>
        <v>#DIV/0!</v>
      </c>
      <c r="AT573" s="176" t="e">
        <f t="shared" si="583"/>
        <v>#DIV/0!</v>
      </c>
      <c r="AU573" s="176" t="e">
        <f t="shared" si="584"/>
        <v>#DIV/0!</v>
      </c>
      <c r="AV573" s="176" t="e">
        <f t="shared" si="585"/>
        <v>#DIV/0!</v>
      </c>
      <c r="AW573" s="257"/>
    </row>
    <row r="574" spans="1:49" x14ac:dyDescent="0.25">
      <c r="A574" s="185">
        <v>30570</v>
      </c>
      <c r="B574" s="259" t="s">
        <v>1330</v>
      </c>
      <c r="C574" s="261"/>
      <c r="D574" s="261"/>
      <c r="E574" s="261"/>
      <c r="F574" s="261"/>
      <c r="G574" s="261"/>
      <c r="H574" s="261"/>
      <c r="I574" s="261"/>
      <c r="J574" s="261"/>
      <c r="K574" s="261"/>
      <c r="L574" s="261"/>
      <c r="M574" s="261"/>
      <c r="N574" s="261"/>
      <c r="O574" s="261">
        <f t="shared" si="553"/>
        <v>0</v>
      </c>
      <c r="P574" s="261"/>
      <c r="R574" s="185"/>
      <c r="S574" s="259"/>
      <c r="T574" s="261"/>
      <c r="U574" s="261"/>
      <c r="V574" s="261"/>
      <c r="W574" s="261">
        <v>0</v>
      </c>
      <c r="X574" s="261"/>
      <c r="Y574" s="261"/>
      <c r="Z574" s="261"/>
      <c r="AA574" s="261"/>
      <c r="AB574" s="261"/>
      <c r="AC574" s="261"/>
      <c r="AD574" s="261"/>
      <c r="AE574" s="261"/>
      <c r="AF574" s="261">
        <f t="shared" si="570"/>
        <v>0</v>
      </c>
      <c r="AG574" s="261">
        <f t="shared" si="571"/>
        <v>0</v>
      </c>
      <c r="AI574" s="176" t="e">
        <f t="shared" si="572"/>
        <v>#DIV/0!</v>
      </c>
      <c r="AJ574" s="176" t="e">
        <f t="shared" si="573"/>
        <v>#DIV/0!</v>
      </c>
      <c r="AK574" s="176" t="e">
        <f t="shared" si="574"/>
        <v>#DIV/0!</v>
      </c>
      <c r="AL574" s="176" t="e">
        <f t="shared" si="575"/>
        <v>#DIV/0!</v>
      </c>
      <c r="AM574" s="176" t="e">
        <f t="shared" si="576"/>
        <v>#DIV/0!</v>
      </c>
      <c r="AN574" s="176" t="e">
        <f t="shared" si="577"/>
        <v>#DIV/0!</v>
      </c>
      <c r="AO574" s="176" t="e">
        <f t="shared" si="578"/>
        <v>#DIV/0!</v>
      </c>
      <c r="AP574" s="176" t="e">
        <f t="shared" si="579"/>
        <v>#DIV/0!</v>
      </c>
      <c r="AQ574" s="176" t="e">
        <f t="shared" si="580"/>
        <v>#DIV/0!</v>
      </c>
      <c r="AR574" s="176" t="e">
        <f t="shared" si="581"/>
        <v>#DIV/0!</v>
      </c>
      <c r="AS574" s="176" t="e">
        <f t="shared" si="582"/>
        <v>#DIV/0!</v>
      </c>
      <c r="AT574" s="176" t="e">
        <f t="shared" si="583"/>
        <v>#DIV/0!</v>
      </c>
      <c r="AU574" s="176" t="e">
        <f t="shared" si="584"/>
        <v>#DIV/0!</v>
      </c>
      <c r="AV574" s="176" t="e">
        <f t="shared" si="585"/>
        <v>#DIV/0!</v>
      </c>
      <c r="AW574" s="257"/>
    </row>
    <row r="575" spans="1:49" x14ac:dyDescent="0.25">
      <c r="A575" s="185">
        <v>30571</v>
      </c>
      <c r="B575" s="259" t="s">
        <v>1331</v>
      </c>
      <c r="C575" s="261"/>
      <c r="D575" s="261"/>
      <c r="E575" s="261"/>
      <c r="F575" s="261"/>
      <c r="G575" s="261"/>
      <c r="H575" s="261"/>
      <c r="I575" s="261"/>
      <c r="J575" s="261"/>
      <c r="K575" s="261"/>
      <c r="L575" s="261"/>
      <c r="M575" s="261"/>
      <c r="N575" s="261"/>
      <c r="O575" s="261">
        <f t="shared" si="553"/>
        <v>0</v>
      </c>
      <c r="P575" s="261"/>
      <c r="R575" s="185"/>
      <c r="S575" s="259"/>
      <c r="T575" s="261"/>
      <c r="U575" s="261"/>
      <c r="V575" s="261"/>
      <c r="W575" s="261">
        <v>0</v>
      </c>
      <c r="X575" s="261"/>
      <c r="Y575" s="261"/>
      <c r="Z575" s="261"/>
      <c r="AA575" s="261"/>
      <c r="AB575" s="261"/>
      <c r="AC575" s="261"/>
      <c r="AD575" s="261"/>
      <c r="AE575" s="261"/>
      <c r="AF575" s="261">
        <f t="shared" si="570"/>
        <v>0</v>
      </c>
      <c r="AG575" s="261">
        <f t="shared" si="571"/>
        <v>0</v>
      </c>
      <c r="AI575" s="176" t="e">
        <f t="shared" si="572"/>
        <v>#DIV/0!</v>
      </c>
      <c r="AJ575" s="176" t="e">
        <f t="shared" si="573"/>
        <v>#DIV/0!</v>
      </c>
      <c r="AK575" s="176" t="e">
        <f t="shared" si="574"/>
        <v>#DIV/0!</v>
      </c>
      <c r="AL575" s="176" t="e">
        <f t="shared" si="575"/>
        <v>#DIV/0!</v>
      </c>
      <c r="AM575" s="176" t="e">
        <f t="shared" si="576"/>
        <v>#DIV/0!</v>
      </c>
      <c r="AN575" s="176" t="e">
        <f t="shared" si="577"/>
        <v>#DIV/0!</v>
      </c>
      <c r="AO575" s="176" t="e">
        <f t="shared" si="578"/>
        <v>#DIV/0!</v>
      </c>
      <c r="AP575" s="176" t="e">
        <f t="shared" si="579"/>
        <v>#DIV/0!</v>
      </c>
      <c r="AQ575" s="176" t="e">
        <f t="shared" si="580"/>
        <v>#DIV/0!</v>
      </c>
      <c r="AR575" s="176" t="e">
        <f t="shared" si="581"/>
        <v>#DIV/0!</v>
      </c>
      <c r="AS575" s="176" t="e">
        <f t="shared" si="582"/>
        <v>#DIV/0!</v>
      </c>
      <c r="AT575" s="176" t="e">
        <f t="shared" si="583"/>
        <v>#DIV/0!</v>
      </c>
      <c r="AU575" s="176" t="e">
        <f t="shared" si="584"/>
        <v>#DIV/0!</v>
      </c>
      <c r="AV575" s="176" t="e">
        <f t="shared" si="585"/>
        <v>#DIV/0!</v>
      </c>
      <c r="AW575" s="257"/>
    </row>
    <row r="576" spans="1:49" x14ac:dyDescent="0.25">
      <c r="A576" s="185">
        <v>30572</v>
      </c>
      <c r="B576" s="259" t="s">
        <v>1332</v>
      </c>
      <c r="C576" s="261"/>
      <c r="D576" s="261"/>
      <c r="E576" s="261"/>
      <c r="F576" s="261"/>
      <c r="G576" s="261"/>
      <c r="H576" s="261"/>
      <c r="I576" s="261"/>
      <c r="J576" s="261"/>
      <c r="K576" s="261"/>
      <c r="L576" s="261"/>
      <c r="M576" s="261"/>
      <c r="N576" s="261"/>
      <c r="O576" s="261">
        <f t="shared" si="553"/>
        <v>0</v>
      </c>
      <c r="P576" s="261"/>
      <c r="R576" s="185"/>
      <c r="S576" s="259"/>
      <c r="T576" s="261"/>
      <c r="U576" s="261"/>
      <c r="V576" s="261"/>
      <c r="W576" s="261">
        <v>0</v>
      </c>
      <c r="X576" s="261"/>
      <c r="Y576" s="261"/>
      <c r="Z576" s="261"/>
      <c r="AA576" s="261"/>
      <c r="AB576" s="261"/>
      <c r="AC576" s="261"/>
      <c r="AD576" s="261"/>
      <c r="AE576" s="261"/>
      <c r="AF576" s="261">
        <f t="shared" si="570"/>
        <v>0</v>
      </c>
      <c r="AG576" s="261">
        <f t="shared" si="571"/>
        <v>0</v>
      </c>
      <c r="AI576" s="176" t="e">
        <f t="shared" si="572"/>
        <v>#DIV/0!</v>
      </c>
      <c r="AJ576" s="176" t="e">
        <f t="shared" si="573"/>
        <v>#DIV/0!</v>
      </c>
      <c r="AK576" s="176" t="e">
        <f t="shared" si="574"/>
        <v>#DIV/0!</v>
      </c>
      <c r="AL576" s="176" t="e">
        <f t="shared" si="575"/>
        <v>#DIV/0!</v>
      </c>
      <c r="AM576" s="176" t="e">
        <f t="shared" si="576"/>
        <v>#DIV/0!</v>
      </c>
      <c r="AN576" s="176" t="e">
        <f t="shared" si="577"/>
        <v>#DIV/0!</v>
      </c>
      <c r="AO576" s="176" t="e">
        <f t="shared" si="578"/>
        <v>#DIV/0!</v>
      </c>
      <c r="AP576" s="176" t="e">
        <f t="shared" si="579"/>
        <v>#DIV/0!</v>
      </c>
      <c r="AQ576" s="176" t="e">
        <f t="shared" si="580"/>
        <v>#DIV/0!</v>
      </c>
      <c r="AR576" s="176" t="e">
        <f t="shared" si="581"/>
        <v>#DIV/0!</v>
      </c>
      <c r="AS576" s="176" t="e">
        <f t="shared" si="582"/>
        <v>#DIV/0!</v>
      </c>
      <c r="AT576" s="176" t="e">
        <f t="shared" si="583"/>
        <v>#DIV/0!</v>
      </c>
      <c r="AU576" s="176" t="e">
        <f t="shared" si="584"/>
        <v>#DIV/0!</v>
      </c>
      <c r="AV576" s="176" t="e">
        <f t="shared" si="585"/>
        <v>#DIV/0!</v>
      </c>
      <c r="AW576" s="257"/>
    </row>
    <row r="577" spans="1:48" x14ac:dyDescent="0.25">
      <c r="A577" s="4">
        <v>306</v>
      </c>
      <c r="B577" s="5" t="s">
        <v>696</v>
      </c>
      <c r="C577" s="6">
        <f t="shared" ref="C577:N577" si="586">+C578</f>
        <v>174250000</v>
      </c>
      <c r="D577" s="6">
        <f t="shared" si="586"/>
        <v>24750000</v>
      </c>
      <c r="E577" s="6">
        <f t="shared" si="586"/>
        <v>0</v>
      </c>
      <c r="F577" s="6">
        <f t="shared" si="586"/>
        <v>0</v>
      </c>
      <c r="G577" s="6">
        <f t="shared" si="586"/>
        <v>0</v>
      </c>
      <c r="H577" s="6">
        <f t="shared" si="586"/>
        <v>0</v>
      </c>
      <c r="I577" s="6">
        <f t="shared" si="586"/>
        <v>0</v>
      </c>
      <c r="J577" s="6">
        <f t="shared" si="586"/>
        <v>0</v>
      </c>
      <c r="K577" s="6">
        <f t="shared" si="586"/>
        <v>0</v>
      </c>
      <c r="L577" s="6">
        <f t="shared" si="586"/>
        <v>0</v>
      </c>
      <c r="M577" s="6">
        <f t="shared" si="586"/>
        <v>0</v>
      </c>
      <c r="N577" s="6">
        <f t="shared" si="586"/>
        <v>0</v>
      </c>
      <c r="O577" s="6">
        <f t="shared" si="553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f t="shared" ref="W577" si="587">+W578</f>
        <v>145798104</v>
      </c>
      <c r="X577" s="6"/>
      <c r="Y577" s="6"/>
      <c r="Z577" s="6"/>
      <c r="AA577" s="6"/>
      <c r="AB577" s="6"/>
      <c r="AC577" s="6"/>
      <c r="AD577" s="6"/>
      <c r="AE577" s="6"/>
      <c r="AF577" s="6">
        <f t="shared" si="570"/>
        <v>1033958544</v>
      </c>
      <c r="AG577" s="6">
        <f t="shared" si="571"/>
        <v>1033958544</v>
      </c>
      <c r="AI577" s="176">
        <f t="shared" si="572"/>
        <v>-2.1962123385939742</v>
      </c>
      <c r="AJ577" s="176">
        <f t="shared" si="573"/>
        <v>0.61212121212121207</v>
      </c>
      <c r="AK577" s="176" t="e">
        <f t="shared" si="574"/>
        <v>#DIV/0!</v>
      </c>
      <c r="AL577" s="176" t="e">
        <f t="shared" si="575"/>
        <v>#DIV/0!</v>
      </c>
      <c r="AM577" s="176" t="e">
        <f t="shared" si="576"/>
        <v>#DIV/0!</v>
      </c>
      <c r="AN577" s="176" t="e">
        <f t="shared" si="577"/>
        <v>#DIV/0!</v>
      </c>
      <c r="AO577" s="176" t="e">
        <f t="shared" si="578"/>
        <v>#DIV/0!</v>
      </c>
      <c r="AP577" s="176" t="e">
        <f t="shared" si="579"/>
        <v>#DIV/0!</v>
      </c>
      <c r="AQ577" s="176" t="e">
        <f t="shared" si="580"/>
        <v>#DIV/0!</v>
      </c>
      <c r="AR577" s="176" t="e">
        <f t="shared" si="581"/>
        <v>#DIV/0!</v>
      </c>
      <c r="AS577" s="176" t="e">
        <f t="shared" si="582"/>
        <v>#DIV/0!</v>
      </c>
      <c r="AT577" s="176" t="e">
        <f t="shared" si="583"/>
        <v>#DIV/0!</v>
      </c>
      <c r="AU577" s="176">
        <f t="shared" si="584"/>
        <v>-4.1957715778894471</v>
      </c>
      <c r="AV577" s="176">
        <f t="shared" si="585"/>
        <v>-4.1957715778894471</v>
      </c>
    </row>
    <row r="578" spans="1:48" x14ac:dyDescent="0.25">
      <c r="A578" s="4">
        <v>3061</v>
      </c>
      <c r="B578" s="5" t="s">
        <v>697</v>
      </c>
      <c r="C578" s="6">
        <f t="shared" ref="C578:N578" si="588">+C579+C580</f>
        <v>174250000</v>
      </c>
      <c r="D578" s="6">
        <f t="shared" si="588"/>
        <v>24750000</v>
      </c>
      <c r="E578" s="6">
        <f t="shared" si="588"/>
        <v>0</v>
      </c>
      <c r="F578" s="6">
        <f t="shared" si="588"/>
        <v>0</v>
      </c>
      <c r="G578" s="6">
        <f t="shared" si="588"/>
        <v>0</v>
      </c>
      <c r="H578" s="6">
        <f t="shared" si="588"/>
        <v>0</v>
      </c>
      <c r="I578" s="6">
        <f t="shared" si="588"/>
        <v>0</v>
      </c>
      <c r="J578" s="6">
        <f t="shared" si="588"/>
        <v>0</v>
      </c>
      <c r="K578" s="6">
        <f t="shared" si="588"/>
        <v>0</v>
      </c>
      <c r="L578" s="6">
        <f t="shared" si="588"/>
        <v>0</v>
      </c>
      <c r="M578" s="6">
        <f t="shared" si="588"/>
        <v>0</v>
      </c>
      <c r="N578" s="6">
        <f t="shared" si="588"/>
        <v>0</v>
      </c>
      <c r="O578" s="6">
        <f t="shared" si="553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f t="shared" ref="W578" si="589">SUM(W579:W615)</f>
        <v>145798104</v>
      </c>
      <c r="X578" s="6"/>
      <c r="Y578" s="6"/>
      <c r="Z578" s="6"/>
      <c r="AA578" s="6"/>
      <c r="AB578" s="6"/>
      <c r="AC578" s="6"/>
      <c r="AD578" s="6"/>
      <c r="AE578" s="6"/>
      <c r="AF578" s="6">
        <f t="shared" si="570"/>
        <v>1024358544</v>
      </c>
      <c r="AG578" s="6">
        <f t="shared" si="571"/>
        <v>1024358544</v>
      </c>
      <c r="AI578" s="176">
        <f t="shared" si="572"/>
        <v>-2.1962123385939742</v>
      </c>
      <c r="AJ578" s="176">
        <f t="shared" si="573"/>
        <v>1</v>
      </c>
      <c r="AK578" s="176" t="e">
        <f t="shared" si="574"/>
        <v>#DIV/0!</v>
      </c>
      <c r="AL578" s="176" t="e">
        <f t="shared" si="575"/>
        <v>#DIV/0!</v>
      </c>
      <c r="AM578" s="176" t="e">
        <f t="shared" si="576"/>
        <v>#DIV/0!</v>
      </c>
      <c r="AN578" s="176" t="e">
        <f t="shared" si="577"/>
        <v>#DIV/0!</v>
      </c>
      <c r="AO578" s="176" t="e">
        <f t="shared" si="578"/>
        <v>#DIV/0!</v>
      </c>
      <c r="AP578" s="176" t="e">
        <f t="shared" si="579"/>
        <v>#DIV/0!</v>
      </c>
      <c r="AQ578" s="176" t="e">
        <f t="shared" si="580"/>
        <v>#DIV/0!</v>
      </c>
      <c r="AR578" s="176" t="e">
        <f t="shared" si="581"/>
        <v>#DIV/0!</v>
      </c>
      <c r="AS578" s="176" t="e">
        <f t="shared" si="582"/>
        <v>#DIV/0!</v>
      </c>
      <c r="AT578" s="176" t="e">
        <f t="shared" si="583"/>
        <v>#DIV/0!</v>
      </c>
      <c r="AU578" s="176">
        <f t="shared" si="584"/>
        <v>-4.1475303718592968</v>
      </c>
      <c r="AV578" s="176">
        <f t="shared" si="585"/>
        <v>-4.1475303718592968</v>
      </c>
    </row>
    <row r="579" spans="1:48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553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61">
        <v>0</v>
      </c>
      <c r="X579" s="21"/>
      <c r="Y579" s="21"/>
      <c r="Z579" s="21"/>
      <c r="AA579" s="21"/>
      <c r="AB579" s="21"/>
      <c r="AC579" s="21"/>
      <c r="AD579" s="21"/>
      <c r="AE579" s="21"/>
      <c r="AF579" s="261">
        <f t="shared" si="570"/>
        <v>10400000</v>
      </c>
      <c r="AG579" s="21">
        <f t="shared" si="571"/>
        <v>10400000</v>
      </c>
      <c r="AI579" s="176">
        <f t="shared" si="572"/>
        <v>1</v>
      </c>
      <c r="AJ579" s="176">
        <f t="shared" si="573"/>
        <v>0.57979797979797976</v>
      </c>
      <c r="AK579" s="176" t="e">
        <f t="shared" si="574"/>
        <v>#DIV/0!</v>
      </c>
      <c r="AL579" s="176" t="e">
        <f t="shared" si="575"/>
        <v>#DIV/0!</v>
      </c>
      <c r="AM579" s="176" t="e">
        <f t="shared" si="576"/>
        <v>#DIV/0!</v>
      </c>
      <c r="AN579" s="176" t="e">
        <f t="shared" si="577"/>
        <v>#DIV/0!</v>
      </c>
      <c r="AO579" s="176" t="e">
        <f t="shared" si="578"/>
        <v>#DIV/0!</v>
      </c>
      <c r="AP579" s="176" t="e">
        <f t="shared" si="579"/>
        <v>#DIV/0!</v>
      </c>
      <c r="AQ579" s="176" t="e">
        <f t="shared" si="580"/>
        <v>#DIV/0!</v>
      </c>
      <c r="AR579" s="176" t="e">
        <f t="shared" si="581"/>
        <v>#DIV/0!</v>
      </c>
      <c r="AS579" s="176" t="e">
        <f t="shared" si="582"/>
        <v>#DIV/0!</v>
      </c>
      <c r="AT579" s="176" t="e">
        <f t="shared" si="583"/>
        <v>#DIV/0!</v>
      </c>
      <c r="AU579" s="176">
        <f t="shared" si="584"/>
        <v>0.78989898989898988</v>
      </c>
      <c r="AV579" s="176">
        <f t="shared" si="585"/>
        <v>0.78989898989898988</v>
      </c>
    </row>
    <row r="580" spans="1:48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553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61">
        <v>19500000</v>
      </c>
      <c r="X580" s="21"/>
      <c r="Y580" s="21"/>
      <c r="Z580" s="21"/>
      <c r="AA580" s="21"/>
      <c r="AB580" s="21"/>
      <c r="AC580" s="21"/>
      <c r="AD580" s="21"/>
      <c r="AE580" s="21"/>
      <c r="AF580" s="261">
        <f t="shared" si="570"/>
        <v>148900000</v>
      </c>
      <c r="AG580" s="21">
        <f t="shared" si="571"/>
        <v>148900000</v>
      </c>
      <c r="AI580" s="176">
        <f t="shared" si="572"/>
        <v>0.26755852842809363</v>
      </c>
      <c r="AJ580" s="176" t="e">
        <f t="shared" si="573"/>
        <v>#DIV/0!</v>
      </c>
      <c r="AK580" s="176" t="e">
        <f t="shared" si="574"/>
        <v>#DIV/0!</v>
      </c>
      <c r="AL580" s="176" t="e">
        <f t="shared" si="575"/>
        <v>#DIV/0!</v>
      </c>
      <c r="AM580" s="176" t="e">
        <f t="shared" si="576"/>
        <v>#DIV/0!</v>
      </c>
      <c r="AN580" s="176" t="e">
        <f t="shared" si="577"/>
        <v>#DIV/0!</v>
      </c>
      <c r="AO580" s="176" t="e">
        <f t="shared" si="578"/>
        <v>#DIV/0!</v>
      </c>
      <c r="AP580" s="176" t="e">
        <f t="shared" si="579"/>
        <v>#DIV/0!</v>
      </c>
      <c r="AQ580" s="176" t="e">
        <f t="shared" si="580"/>
        <v>#DIV/0!</v>
      </c>
      <c r="AR580" s="176" t="e">
        <f t="shared" si="581"/>
        <v>#DIV/0!</v>
      </c>
      <c r="AS580" s="176" t="e">
        <f t="shared" si="582"/>
        <v>#DIV/0!</v>
      </c>
      <c r="AT580" s="176" t="e">
        <f t="shared" si="583"/>
        <v>#DIV/0!</v>
      </c>
      <c r="AU580" s="176">
        <f t="shared" si="584"/>
        <v>4.0133779264214043E-3</v>
      </c>
      <c r="AV580" s="176">
        <f t="shared" si="585"/>
        <v>4.0133779264214043E-3</v>
      </c>
    </row>
    <row r="581" spans="1:48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553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61">
        <v>0</v>
      </c>
      <c r="X581" s="21"/>
      <c r="Y581" s="21"/>
      <c r="Z581" s="21"/>
      <c r="AA581" s="21"/>
      <c r="AB581" s="21"/>
      <c r="AC581" s="21"/>
      <c r="AD581" s="21"/>
      <c r="AE581" s="21"/>
      <c r="AF581" s="261">
        <f t="shared" si="570"/>
        <v>0</v>
      </c>
      <c r="AG581" s="21">
        <f t="shared" si="571"/>
        <v>0</v>
      </c>
      <c r="AI581" s="176" t="e">
        <f t="shared" si="572"/>
        <v>#DIV/0!</v>
      </c>
      <c r="AJ581" s="176" t="e">
        <f t="shared" si="573"/>
        <v>#DIV/0!</v>
      </c>
      <c r="AK581" s="176" t="e">
        <f t="shared" si="574"/>
        <v>#DIV/0!</v>
      </c>
      <c r="AL581" s="176" t="e">
        <f t="shared" si="575"/>
        <v>#DIV/0!</v>
      </c>
      <c r="AM581" s="176" t="e">
        <f t="shared" si="576"/>
        <v>#DIV/0!</v>
      </c>
      <c r="AN581" s="176" t="e">
        <f t="shared" si="577"/>
        <v>#DIV/0!</v>
      </c>
      <c r="AO581" s="176" t="e">
        <f t="shared" si="578"/>
        <v>#DIV/0!</v>
      </c>
      <c r="AP581" s="176" t="e">
        <f t="shared" si="579"/>
        <v>#DIV/0!</v>
      </c>
      <c r="AQ581" s="176" t="e">
        <f t="shared" si="580"/>
        <v>#DIV/0!</v>
      </c>
      <c r="AR581" s="176" t="e">
        <f t="shared" si="581"/>
        <v>#DIV/0!</v>
      </c>
      <c r="AS581" s="176" t="e">
        <f t="shared" si="582"/>
        <v>#DIV/0!</v>
      </c>
      <c r="AT581" s="176" t="e">
        <f t="shared" si="583"/>
        <v>#DIV/0!</v>
      </c>
      <c r="AU581" s="176" t="e">
        <f t="shared" si="584"/>
        <v>#DIV/0!</v>
      </c>
      <c r="AV581" s="176" t="e">
        <f t="shared" si="585"/>
        <v>#DIV/0!</v>
      </c>
    </row>
    <row r="582" spans="1:48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553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61">
        <v>65768820</v>
      </c>
      <c r="X582" s="21"/>
      <c r="Y582" s="21"/>
      <c r="Z582" s="21"/>
      <c r="AA582" s="21"/>
      <c r="AB582" s="21"/>
      <c r="AC582" s="21"/>
      <c r="AD582" s="21"/>
      <c r="AE582" s="21"/>
      <c r="AF582" s="261">
        <f t="shared" si="570"/>
        <v>400596096</v>
      </c>
      <c r="AG582" s="21">
        <f t="shared" si="571"/>
        <v>400596096</v>
      </c>
      <c r="AI582" s="176" t="e">
        <f t="shared" si="572"/>
        <v>#DIV/0!</v>
      </c>
      <c r="AJ582" s="176" t="e">
        <f t="shared" si="573"/>
        <v>#DIV/0!</v>
      </c>
      <c r="AK582" s="176" t="e">
        <f t="shared" si="574"/>
        <v>#DIV/0!</v>
      </c>
      <c r="AL582" s="176" t="e">
        <f t="shared" si="575"/>
        <v>#DIV/0!</v>
      </c>
      <c r="AM582" s="176" t="e">
        <f t="shared" si="576"/>
        <v>#DIV/0!</v>
      </c>
      <c r="AN582" s="176" t="e">
        <f t="shared" si="577"/>
        <v>#DIV/0!</v>
      </c>
      <c r="AO582" s="176" t="e">
        <f t="shared" si="578"/>
        <v>#DIV/0!</v>
      </c>
      <c r="AP582" s="176" t="e">
        <f t="shared" si="579"/>
        <v>#DIV/0!</v>
      </c>
      <c r="AQ582" s="176" t="e">
        <f t="shared" si="580"/>
        <v>#DIV/0!</v>
      </c>
      <c r="AR582" s="176" t="e">
        <f t="shared" si="581"/>
        <v>#DIV/0!</v>
      </c>
      <c r="AS582" s="176" t="e">
        <f t="shared" si="582"/>
        <v>#DIV/0!</v>
      </c>
      <c r="AT582" s="176" t="e">
        <f t="shared" si="583"/>
        <v>#DIV/0!</v>
      </c>
      <c r="AU582" s="176" t="e">
        <f t="shared" si="584"/>
        <v>#DIV/0!</v>
      </c>
      <c r="AV582" s="176" t="e">
        <f t="shared" si="585"/>
        <v>#DIV/0!</v>
      </c>
    </row>
    <row r="583" spans="1:48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553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61">
        <v>0</v>
      </c>
      <c r="X583" s="21"/>
      <c r="Y583" s="21"/>
      <c r="Z583" s="21"/>
      <c r="AA583" s="21"/>
      <c r="AB583" s="21"/>
      <c r="AC583" s="21"/>
      <c r="AD583" s="21"/>
      <c r="AE583" s="21"/>
      <c r="AF583" s="261">
        <f t="shared" si="570"/>
        <v>0</v>
      </c>
      <c r="AG583" s="21">
        <f t="shared" si="571"/>
        <v>0</v>
      </c>
      <c r="AI583" s="176" t="e">
        <f t="shared" si="572"/>
        <v>#DIV/0!</v>
      </c>
      <c r="AJ583" s="176" t="e">
        <f t="shared" si="573"/>
        <v>#DIV/0!</v>
      </c>
      <c r="AK583" s="176" t="e">
        <f t="shared" si="574"/>
        <v>#DIV/0!</v>
      </c>
      <c r="AL583" s="176" t="e">
        <f t="shared" si="575"/>
        <v>#DIV/0!</v>
      </c>
      <c r="AM583" s="176" t="e">
        <f t="shared" si="576"/>
        <v>#DIV/0!</v>
      </c>
      <c r="AN583" s="176" t="e">
        <f t="shared" si="577"/>
        <v>#DIV/0!</v>
      </c>
      <c r="AO583" s="176" t="e">
        <f t="shared" si="578"/>
        <v>#DIV/0!</v>
      </c>
      <c r="AP583" s="176" t="e">
        <f t="shared" si="579"/>
        <v>#DIV/0!</v>
      </c>
      <c r="AQ583" s="176" t="e">
        <f t="shared" si="580"/>
        <v>#DIV/0!</v>
      </c>
      <c r="AR583" s="176" t="e">
        <f t="shared" si="581"/>
        <v>#DIV/0!</v>
      </c>
      <c r="AS583" s="176" t="e">
        <f t="shared" si="582"/>
        <v>#DIV/0!</v>
      </c>
      <c r="AT583" s="176" t="e">
        <f t="shared" si="583"/>
        <v>#DIV/0!</v>
      </c>
      <c r="AU583" s="176" t="e">
        <f t="shared" si="584"/>
        <v>#DIV/0!</v>
      </c>
      <c r="AV583" s="176" t="e">
        <f t="shared" si="585"/>
        <v>#DIV/0!</v>
      </c>
    </row>
    <row r="584" spans="1:48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553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61">
        <v>0</v>
      </c>
      <c r="X584" s="21"/>
      <c r="Y584" s="21"/>
      <c r="Z584" s="21"/>
      <c r="AA584" s="21"/>
      <c r="AB584" s="21"/>
      <c r="AC584" s="21"/>
      <c r="AD584" s="21"/>
      <c r="AE584" s="21"/>
      <c r="AF584" s="261">
        <f t="shared" si="570"/>
        <v>0</v>
      </c>
      <c r="AG584" s="21">
        <f t="shared" si="571"/>
        <v>0</v>
      </c>
      <c r="AI584" s="176" t="e">
        <f t="shared" si="572"/>
        <v>#DIV/0!</v>
      </c>
      <c r="AJ584" s="176" t="e">
        <f t="shared" si="573"/>
        <v>#DIV/0!</v>
      </c>
      <c r="AK584" s="176" t="e">
        <f t="shared" si="574"/>
        <v>#DIV/0!</v>
      </c>
      <c r="AL584" s="176" t="e">
        <f t="shared" si="575"/>
        <v>#DIV/0!</v>
      </c>
      <c r="AM584" s="176" t="e">
        <f t="shared" si="576"/>
        <v>#DIV/0!</v>
      </c>
      <c r="AN584" s="176" t="e">
        <f t="shared" si="577"/>
        <v>#DIV/0!</v>
      </c>
      <c r="AO584" s="176" t="e">
        <f t="shared" si="578"/>
        <v>#DIV/0!</v>
      </c>
      <c r="AP584" s="176" t="e">
        <f t="shared" si="579"/>
        <v>#DIV/0!</v>
      </c>
      <c r="AQ584" s="176" t="e">
        <f t="shared" si="580"/>
        <v>#DIV/0!</v>
      </c>
      <c r="AR584" s="176" t="e">
        <f t="shared" si="581"/>
        <v>#DIV/0!</v>
      </c>
      <c r="AS584" s="176" t="e">
        <f t="shared" si="582"/>
        <v>#DIV/0!</v>
      </c>
      <c r="AT584" s="176" t="e">
        <f t="shared" si="583"/>
        <v>#DIV/0!</v>
      </c>
      <c r="AU584" s="176" t="e">
        <f t="shared" si="584"/>
        <v>#DIV/0!</v>
      </c>
      <c r="AV584" s="176" t="e">
        <f t="shared" si="585"/>
        <v>#DIV/0!</v>
      </c>
    </row>
    <row r="585" spans="1:48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553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61">
        <v>240000</v>
      </c>
      <c r="X585" s="21"/>
      <c r="Y585" s="21"/>
      <c r="Z585" s="21"/>
      <c r="AA585" s="21"/>
      <c r="AB585" s="21"/>
      <c r="AC585" s="21"/>
      <c r="AD585" s="21"/>
      <c r="AE585" s="21"/>
      <c r="AF585" s="261">
        <f t="shared" si="570"/>
        <v>480000</v>
      </c>
      <c r="AG585" s="21">
        <f t="shared" si="571"/>
        <v>480000</v>
      </c>
      <c r="AI585" s="176" t="e">
        <f t="shared" si="572"/>
        <v>#DIV/0!</v>
      </c>
      <c r="AJ585" s="176" t="e">
        <f t="shared" si="573"/>
        <v>#DIV/0!</v>
      </c>
      <c r="AK585" s="176" t="e">
        <f t="shared" si="574"/>
        <v>#DIV/0!</v>
      </c>
      <c r="AL585" s="176" t="e">
        <f t="shared" si="575"/>
        <v>#DIV/0!</v>
      </c>
      <c r="AM585" s="176" t="e">
        <f t="shared" si="576"/>
        <v>#DIV/0!</v>
      </c>
      <c r="AN585" s="176" t="e">
        <f t="shared" si="577"/>
        <v>#DIV/0!</v>
      </c>
      <c r="AO585" s="176" t="e">
        <f t="shared" si="578"/>
        <v>#DIV/0!</v>
      </c>
      <c r="AP585" s="176" t="e">
        <f t="shared" si="579"/>
        <v>#DIV/0!</v>
      </c>
      <c r="AQ585" s="176" t="e">
        <f t="shared" si="580"/>
        <v>#DIV/0!</v>
      </c>
      <c r="AR585" s="176" t="e">
        <f t="shared" si="581"/>
        <v>#DIV/0!</v>
      </c>
      <c r="AS585" s="176" t="e">
        <f t="shared" si="582"/>
        <v>#DIV/0!</v>
      </c>
      <c r="AT585" s="176" t="e">
        <f t="shared" si="583"/>
        <v>#DIV/0!</v>
      </c>
      <c r="AU585" s="176" t="e">
        <f t="shared" si="584"/>
        <v>#DIV/0!</v>
      </c>
      <c r="AV585" s="176" t="e">
        <f t="shared" si="585"/>
        <v>#DIV/0!</v>
      </c>
    </row>
    <row r="586" spans="1:48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553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61">
        <v>0</v>
      </c>
      <c r="X586" s="21"/>
      <c r="Y586" s="21"/>
      <c r="Z586" s="21"/>
      <c r="AA586" s="21"/>
      <c r="AB586" s="21"/>
      <c r="AC586" s="21"/>
      <c r="AD586" s="21"/>
      <c r="AE586" s="21"/>
      <c r="AF586" s="261">
        <f t="shared" si="570"/>
        <v>0</v>
      </c>
      <c r="AG586" s="21">
        <f t="shared" si="571"/>
        <v>0</v>
      </c>
      <c r="AI586" s="176" t="e">
        <f t="shared" si="572"/>
        <v>#DIV/0!</v>
      </c>
      <c r="AJ586" s="176" t="e">
        <f t="shared" si="573"/>
        <v>#DIV/0!</v>
      </c>
      <c r="AK586" s="176" t="e">
        <f t="shared" si="574"/>
        <v>#DIV/0!</v>
      </c>
      <c r="AL586" s="176" t="e">
        <f t="shared" si="575"/>
        <v>#DIV/0!</v>
      </c>
      <c r="AM586" s="176" t="e">
        <f t="shared" si="576"/>
        <v>#DIV/0!</v>
      </c>
      <c r="AN586" s="176" t="e">
        <f t="shared" si="577"/>
        <v>#DIV/0!</v>
      </c>
      <c r="AO586" s="176" t="e">
        <f t="shared" si="578"/>
        <v>#DIV/0!</v>
      </c>
      <c r="AP586" s="176" t="e">
        <f t="shared" si="579"/>
        <v>#DIV/0!</v>
      </c>
      <c r="AQ586" s="176" t="e">
        <f t="shared" si="580"/>
        <v>#DIV/0!</v>
      </c>
      <c r="AR586" s="176" t="e">
        <f t="shared" si="581"/>
        <v>#DIV/0!</v>
      </c>
      <c r="AS586" s="176" t="e">
        <f t="shared" si="582"/>
        <v>#DIV/0!</v>
      </c>
      <c r="AT586" s="176" t="e">
        <f t="shared" si="583"/>
        <v>#DIV/0!</v>
      </c>
      <c r="AU586" s="176" t="e">
        <f t="shared" si="584"/>
        <v>#DIV/0!</v>
      </c>
      <c r="AV586" s="176" t="e">
        <f t="shared" si="585"/>
        <v>#DIV/0!</v>
      </c>
    </row>
    <row r="587" spans="1:48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590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61">
        <v>0</v>
      </c>
      <c r="X587" s="21"/>
      <c r="Y587" s="21"/>
      <c r="Z587" s="21"/>
      <c r="AA587" s="21"/>
      <c r="AB587" s="21"/>
      <c r="AC587" s="21"/>
      <c r="AD587" s="21"/>
      <c r="AE587" s="21"/>
      <c r="AF587" s="261">
        <f t="shared" si="570"/>
        <v>0</v>
      </c>
      <c r="AG587" s="21">
        <f t="shared" si="571"/>
        <v>0</v>
      </c>
      <c r="AI587" s="176" t="e">
        <f t="shared" si="572"/>
        <v>#DIV/0!</v>
      </c>
      <c r="AJ587" s="176" t="e">
        <f t="shared" si="573"/>
        <v>#DIV/0!</v>
      </c>
      <c r="AK587" s="176" t="e">
        <f t="shared" si="574"/>
        <v>#DIV/0!</v>
      </c>
      <c r="AL587" s="176" t="e">
        <f t="shared" si="575"/>
        <v>#DIV/0!</v>
      </c>
      <c r="AM587" s="176" t="e">
        <f t="shared" si="576"/>
        <v>#DIV/0!</v>
      </c>
      <c r="AN587" s="176" t="e">
        <f t="shared" si="577"/>
        <v>#DIV/0!</v>
      </c>
      <c r="AO587" s="176" t="e">
        <f t="shared" si="578"/>
        <v>#DIV/0!</v>
      </c>
      <c r="AP587" s="176" t="e">
        <f t="shared" si="579"/>
        <v>#DIV/0!</v>
      </c>
      <c r="AQ587" s="176" t="e">
        <f t="shared" si="580"/>
        <v>#DIV/0!</v>
      </c>
      <c r="AR587" s="176" t="e">
        <f t="shared" si="581"/>
        <v>#DIV/0!</v>
      </c>
      <c r="AS587" s="176" t="e">
        <f t="shared" si="582"/>
        <v>#DIV/0!</v>
      </c>
      <c r="AT587" s="176" t="e">
        <f t="shared" si="583"/>
        <v>#DIV/0!</v>
      </c>
      <c r="AU587" s="176" t="e">
        <f t="shared" si="584"/>
        <v>#DIV/0!</v>
      </c>
      <c r="AV587" s="176" t="e">
        <f t="shared" si="585"/>
        <v>#DIV/0!</v>
      </c>
    </row>
    <row r="588" spans="1:48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590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61">
        <v>0</v>
      </c>
      <c r="X588" s="21"/>
      <c r="Y588" s="21"/>
      <c r="Z588" s="21"/>
      <c r="AA588" s="21"/>
      <c r="AB588" s="21"/>
      <c r="AC588" s="21"/>
      <c r="AD588" s="21"/>
      <c r="AE588" s="21"/>
      <c r="AF588" s="261">
        <f t="shared" ref="AF588:AF615" si="591">+T588+U588+V588+W588</f>
        <v>870000</v>
      </c>
      <c r="AG588" s="21">
        <f t="shared" ref="AG588:AG615" si="592">+T588+U588+V588+W588</f>
        <v>870000</v>
      </c>
      <c r="AI588" s="176" t="e">
        <f t="shared" si="572"/>
        <v>#DIV/0!</v>
      </c>
      <c r="AJ588" s="176" t="e">
        <f t="shared" si="573"/>
        <v>#DIV/0!</v>
      </c>
      <c r="AK588" s="176" t="e">
        <f t="shared" si="574"/>
        <v>#DIV/0!</v>
      </c>
      <c r="AL588" s="176" t="e">
        <f t="shared" si="575"/>
        <v>#DIV/0!</v>
      </c>
      <c r="AM588" s="176" t="e">
        <f t="shared" si="576"/>
        <v>#DIV/0!</v>
      </c>
      <c r="AN588" s="176" t="e">
        <f t="shared" si="577"/>
        <v>#DIV/0!</v>
      </c>
      <c r="AO588" s="176" t="e">
        <f t="shared" si="578"/>
        <v>#DIV/0!</v>
      </c>
      <c r="AP588" s="176" t="e">
        <f t="shared" si="579"/>
        <v>#DIV/0!</v>
      </c>
      <c r="AQ588" s="176" t="e">
        <f t="shared" si="580"/>
        <v>#DIV/0!</v>
      </c>
      <c r="AR588" s="176" t="e">
        <f t="shared" si="581"/>
        <v>#DIV/0!</v>
      </c>
      <c r="AS588" s="176" t="e">
        <f t="shared" si="582"/>
        <v>#DIV/0!</v>
      </c>
      <c r="AT588" s="176" t="e">
        <f t="shared" si="583"/>
        <v>#DIV/0!</v>
      </c>
      <c r="AU588" s="176" t="e">
        <f t="shared" si="584"/>
        <v>#DIV/0!</v>
      </c>
      <c r="AV588" s="176" t="e">
        <f t="shared" si="585"/>
        <v>#DIV/0!</v>
      </c>
    </row>
    <row r="589" spans="1:48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590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61">
        <v>0</v>
      </c>
      <c r="X589" s="21"/>
      <c r="Y589" s="21"/>
      <c r="Z589" s="21"/>
      <c r="AA589" s="21"/>
      <c r="AB589" s="21"/>
      <c r="AC589" s="21"/>
      <c r="AD589" s="21"/>
      <c r="AE589" s="21"/>
      <c r="AF589" s="261">
        <f t="shared" si="591"/>
        <v>0</v>
      </c>
      <c r="AG589" s="21">
        <f t="shared" si="592"/>
        <v>0</v>
      </c>
      <c r="AI589" s="176" t="e">
        <f t="shared" si="572"/>
        <v>#DIV/0!</v>
      </c>
      <c r="AJ589" s="176" t="e">
        <f t="shared" si="573"/>
        <v>#DIV/0!</v>
      </c>
      <c r="AK589" s="176" t="e">
        <f t="shared" si="574"/>
        <v>#DIV/0!</v>
      </c>
      <c r="AL589" s="176" t="e">
        <f t="shared" si="575"/>
        <v>#DIV/0!</v>
      </c>
      <c r="AM589" s="176" t="e">
        <f t="shared" si="576"/>
        <v>#DIV/0!</v>
      </c>
      <c r="AN589" s="176" t="e">
        <f t="shared" si="577"/>
        <v>#DIV/0!</v>
      </c>
      <c r="AO589" s="176" t="e">
        <f t="shared" si="578"/>
        <v>#DIV/0!</v>
      </c>
      <c r="AP589" s="176" t="e">
        <f t="shared" si="579"/>
        <v>#DIV/0!</v>
      </c>
      <c r="AQ589" s="176" t="e">
        <f t="shared" si="580"/>
        <v>#DIV/0!</v>
      </c>
      <c r="AR589" s="176" t="e">
        <f t="shared" si="581"/>
        <v>#DIV/0!</v>
      </c>
      <c r="AS589" s="176" t="e">
        <f t="shared" si="582"/>
        <v>#DIV/0!</v>
      </c>
      <c r="AT589" s="176" t="e">
        <f t="shared" si="583"/>
        <v>#DIV/0!</v>
      </c>
      <c r="AU589" s="176" t="e">
        <f t="shared" si="584"/>
        <v>#DIV/0!</v>
      </c>
      <c r="AV589" s="176" t="e">
        <f t="shared" si="585"/>
        <v>#DIV/0!</v>
      </c>
    </row>
    <row r="590" spans="1:48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590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61">
        <v>0</v>
      </c>
      <c r="X590" s="21"/>
      <c r="Y590" s="21"/>
      <c r="Z590" s="21"/>
      <c r="AA590" s="21"/>
      <c r="AB590" s="21"/>
      <c r="AC590" s="21"/>
      <c r="AD590" s="21"/>
      <c r="AE590" s="21"/>
      <c r="AF590" s="261">
        <f t="shared" si="591"/>
        <v>0</v>
      </c>
      <c r="AG590" s="21">
        <f t="shared" si="592"/>
        <v>0</v>
      </c>
      <c r="AI590" s="176" t="e">
        <f t="shared" si="572"/>
        <v>#DIV/0!</v>
      </c>
      <c r="AJ590" s="176" t="e">
        <f t="shared" si="573"/>
        <v>#DIV/0!</v>
      </c>
      <c r="AK590" s="176" t="e">
        <f t="shared" si="574"/>
        <v>#DIV/0!</v>
      </c>
      <c r="AL590" s="176" t="e">
        <f t="shared" si="575"/>
        <v>#DIV/0!</v>
      </c>
      <c r="AM590" s="176" t="e">
        <f t="shared" si="576"/>
        <v>#DIV/0!</v>
      </c>
      <c r="AN590" s="176" t="e">
        <f t="shared" si="577"/>
        <v>#DIV/0!</v>
      </c>
      <c r="AO590" s="176" t="e">
        <f t="shared" si="578"/>
        <v>#DIV/0!</v>
      </c>
      <c r="AP590" s="176" t="e">
        <f t="shared" si="579"/>
        <v>#DIV/0!</v>
      </c>
      <c r="AQ590" s="176" t="e">
        <f t="shared" si="580"/>
        <v>#DIV/0!</v>
      </c>
      <c r="AR590" s="176" t="e">
        <f t="shared" si="581"/>
        <v>#DIV/0!</v>
      </c>
      <c r="AS590" s="176" t="e">
        <f t="shared" si="582"/>
        <v>#DIV/0!</v>
      </c>
      <c r="AT590" s="176" t="e">
        <f t="shared" si="583"/>
        <v>#DIV/0!</v>
      </c>
      <c r="AU590" s="176" t="e">
        <f t="shared" si="584"/>
        <v>#DIV/0!</v>
      </c>
      <c r="AV590" s="176" t="e">
        <f t="shared" si="585"/>
        <v>#DIV/0!</v>
      </c>
    </row>
    <row r="591" spans="1:48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590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61">
        <v>0</v>
      </c>
      <c r="X591" s="21"/>
      <c r="Y591" s="21"/>
      <c r="Z591" s="21"/>
      <c r="AA591" s="21"/>
      <c r="AB591" s="21"/>
      <c r="AC591" s="21"/>
      <c r="AD591" s="21"/>
      <c r="AE591" s="21"/>
      <c r="AF591" s="261">
        <f t="shared" si="591"/>
        <v>0</v>
      </c>
      <c r="AG591" s="21">
        <f t="shared" si="592"/>
        <v>0</v>
      </c>
      <c r="AI591" s="176" t="e">
        <f t="shared" si="572"/>
        <v>#DIV/0!</v>
      </c>
      <c r="AJ591" s="176" t="e">
        <f t="shared" si="573"/>
        <v>#DIV/0!</v>
      </c>
      <c r="AK591" s="176" t="e">
        <f t="shared" si="574"/>
        <v>#DIV/0!</v>
      </c>
      <c r="AL591" s="176" t="e">
        <f t="shared" si="575"/>
        <v>#DIV/0!</v>
      </c>
      <c r="AM591" s="176" t="e">
        <f t="shared" si="576"/>
        <v>#DIV/0!</v>
      </c>
      <c r="AN591" s="176" t="e">
        <f t="shared" si="577"/>
        <v>#DIV/0!</v>
      </c>
      <c r="AO591" s="176" t="e">
        <f t="shared" si="578"/>
        <v>#DIV/0!</v>
      </c>
      <c r="AP591" s="176" t="e">
        <f t="shared" si="579"/>
        <v>#DIV/0!</v>
      </c>
      <c r="AQ591" s="176" t="e">
        <f t="shared" si="580"/>
        <v>#DIV/0!</v>
      </c>
      <c r="AR591" s="176" t="e">
        <f t="shared" si="581"/>
        <v>#DIV/0!</v>
      </c>
      <c r="AS591" s="176" t="e">
        <f t="shared" si="582"/>
        <v>#DIV/0!</v>
      </c>
      <c r="AT591" s="176" t="e">
        <f t="shared" si="583"/>
        <v>#DIV/0!</v>
      </c>
      <c r="AU591" s="176" t="e">
        <f t="shared" si="584"/>
        <v>#DIV/0!</v>
      </c>
      <c r="AV591" s="176" t="e">
        <f t="shared" si="585"/>
        <v>#DIV/0!</v>
      </c>
    </row>
    <row r="592" spans="1:48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590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61">
        <v>0</v>
      </c>
      <c r="X592" s="21"/>
      <c r="Y592" s="21"/>
      <c r="Z592" s="21"/>
      <c r="AA592" s="21"/>
      <c r="AB592" s="21"/>
      <c r="AC592" s="21"/>
      <c r="AD592" s="21"/>
      <c r="AE592" s="21"/>
      <c r="AF592" s="261">
        <f t="shared" si="591"/>
        <v>6000000</v>
      </c>
      <c r="AG592" s="21">
        <f t="shared" si="592"/>
        <v>6000000</v>
      </c>
      <c r="AI592" s="176" t="e">
        <f t="shared" si="572"/>
        <v>#DIV/0!</v>
      </c>
      <c r="AJ592" s="176" t="e">
        <f t="shared" si="573"/>
        <v>#DIV/0!</v>
      </c>
      <c r="AK592" s="176" t="e">
        <f t="shared" si="574"/>
        <v>#DIV/0!</v>
      </c>
      <c r="AL592" s="176" t="e">
        <f t="shared" si="575"/>
        <v>#DIV/0!</v>
      </c>
      <c r="AM592" s="176" t="e">
        <f t="shared" si="576"/>
        <v>#DIV/0!</v>
      </c>
      <c r="AN592" s="176" t="e">
        <f t="shared" si="577"/>
        <v>#DIV/0!</v>
      </c>
      <c r="AO592" s="176" t="e">
        <f t="shared" si="578"/>
        <v>#DIV/0!</v>
      </c>
      <c r="AP592" s="176" t="e">
        <f t="shared" si="579"/>
        <v>#DIV/0!</v>
      </c>
      <c r="AQ592" s="176" t="e">
        <f t="shared" si="580"/>
        <v>#DIV/0!</v>
      </c>
      <c r="AR592" s="176" t="e">
        <f t="shared" si="581"/>
        <v>#DIV/0!</v>
      </c>
      <c r="AS592" s="176" t="e">
        <f t="shared" si="582"/>
        <v>#DIV/0!</v>
      </c>
      <c r="AT592" s="176" t="e">
        <f t="shared" si="583"/>
        <v>#DIV/0!</v>
      </c>
      <c r="AU592" s="176" t="e">
        <f t="shared" si="584"/>
        <v>#DIV/0!</v>
      </c>
      <c r="AV592" s="176" t="e">
        <f t="shared" si="585"/>
        <v>#DIV/0!</v>
      </c>
    </row>
    <row r="593" spans="1:48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590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61">
        <v>1000000</v>
      </c>
      <c r="X593" s="21"/>
      <c r="Y593" s="21"/>
      <c r="Z593" s="21"/>
      <c r="AA593" s="21"/>
      <c r="AB593" s="21"/>
      <c r="AC593" s="21"/>
      <c r="AD593" s="21"/>
      <c r="AE593" s="21"/>
      <c r="AF593" s="261">
        <f t="shared" si="591"/>
        <v>4200000</v>
      </c>
      <c r="AG593" s="21">
        <f t="shared" si="592"/>
        <v>4200000</v>
      </c>
      <c r="AI593" s="176" t="e">
        <f t="shared" si="572"/>
        <v>#DIV/0!</v>
      </c>
      <c r="AJ593" s="176" t="e">
        <f t="shared" si="573"/>
        <v>#DIV/0!</v>
      </c>
      <c r="AK593" s="176" t="e">
        <f t="shared" si="574"/>
        <v>#DIV/0!</v>
      </c>
      <c r="AL593" s="176" t="e">
        <f t="shared" si="575"/>
        <v>#DIV/0!</v>
      </c>
      <c r="AM593" s="176" t="e">
        <f t="shared" si="576"/>
        <v>#DIV/0!</v>
      </c>
      <c r="AN593" s="176" t="e">
        <f t="shared" si="577"/>
        <v>#DIV/0!</v>
      </c>
      <c r="AO593" s="176" t="e">
        <f t="shared" si="578"/>
        <v>#DIV/0!</v>
      </c>
      <c r="AP593" s="176" t="e">
        <f t="shared" si="579"/>
        <v>#DIV/0!</v>
      </c>
      <c r="AQ593" s="176" t="e">
        <f t="shared" si="580"/>
        <v>#DIV/0!</v>
      </c>
      <c r="AR593" s="176" t="e">
        <f t="shared" si="581"/>
        <v>#DIV/0!</v>
      </c>
      <c r="AS593" s="176" t="e">
        <f t="shared" si="582"/>
        <v>#DIV/0!</v>
      </c>
      <c r="AT593" s="176" t="e">
        <f t="shared" si="583"/>
        <v>#DIV/0!</v>
      </c>
      <c r="AU593" s="176" t="e">
        <f t="shared" si="584"/>
        <v>#DIV/0!</v>
      </c>
      <c r="AV593" s="176" t="e">
        <f t="shared" si="585"/>
        <v>#DIV/0!</v>
      </c>
    </row>
    <row r="594" spans="1:48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590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61">
        <v>0</v>
      </c>
      <c r="X594" s="21"/>
      <c r="Y594" s="21"/>
      <c r="Z594" s="21"/>
      <c r="AA594" s="21"/>
      <c r="AB594" s="21"/>
      <c r="AC594" s="21"/>
      <c r="AD594" s="21"/>
      <c r="AE594" s="21"/>
      <c r="AF594" s="261">
        <f t="shared" si="591"/>
        <v>0</v>
      </c>
      <c r="AG594" s="21">
        <f t="shared" si="592"/>
        <v>0</v>
      </c>
      <c r="AI594" s="176" t="e">
        <f t="shared" si="572"/>
        <v>#DIV/0!</v>
      </c>
      <c r="AJ594" s="176" t="e">
        <f t="shared" si="573"/>
        <v>#DIV/0!</v>
      </c>
      <c r="AK594" s="176" t="e">
        <f t="shared" si="574"/>
        <v>#DIV/0!</v>
      </c>
      <c r="AL594" s="176" t="e">
        <f t="shared" si="575"/>
        <v>#DIV/0!</v>
      </c>
      <c r="AM594" s="176" t="e">
        <f t="shared" si="576"/>
        <v>#DIV/0!</v>
      </c>
      <c r="AN594" s="176" t="e">
        <f t="shared" si="577"/>
        <v>#DIV/0!</v>
      </c>
      <c r="AO594" s="176" t="e">
        <f t="shared" si="578"/>
        <v>#DIV/0!</v>
      </c>
      <c r="AP594" s="176" t="e">
        <f t="shared" si="579"/>
        <v>#DIV/0!</v>
      </c>
      <c r="AQ594" s="176" t="e">
        <f t="shared" si="580"/>
        <v>#DIV/0!</v>
      </c>
      <c r="AR594" s="176" t="e">
        <f t="shared" si="581"/>
        <v>#DIV/0!</v>
      </c>
      <c r="AS594" s="176" t="e">
        <f t="shared" si="582"/>
        <v>#DIV/0!</v>
      </c>
      <c r="AT594" s="176" t="e">
        <f t="shared" si="583"/>
        <v>#DIV/0!</v>
      </c>
      <c r="AU594" s="176" t="e">
        <f t="shared" si="584"/>
        <v>#DIV/0!</v>
      </c>
      <c r="AV594" s="176" t="e">
        <f t="shared" si="585"/>
        <v>#DIV/0!</v>
      </c>
    </row>
    <row r="595" spans="1:48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590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61">
        <v>35794808</v>
      </c>
      <c r="X595" s="21"/>
      <c r="Y595" s="21"/>
      <c r="Z595" s="21"/>
      <c r="AA595" s="21"/>
      <c r="AB595" s="21"/>
      <c r="AC595" s="21"/>
      <c r="AD595" s="21"/>
      <c r="AE595" s="21"/>
      <c r="AF595" s="261">
        <f t="shared" si="591"/>
        <v>255584424</v>
      </c>
      <c r="AG595" s="21">
        <f t="shared" si="592"/>
        <v>255584424</v>
      </c>
      <c r="AI595" s="176" t="e">
        <f t="shared" si="572"/>
        <v>#DIV/0!</v>
      </c>
      <c r="AJ595" s="176" t="e">
        <f t="shared" si="573"/>
        <v>#DIV/0!</v>
      </c>
      <c r="AK595" s="176" t="e">
        <f t="shared" si="574"/>
        <v>#DIV/0!</v>
      </c>
      <c r="AL595" s="176" t="e">
        <f t="shared" si="575"/>
        <v>#DIV/0!</v>
      </c>
      <c r="AM595" s="176" t="e">
        <f t="shared" si="576"/>
        <v>#DIV/0!</v>
      </c>
      <c r="AN595" s="176" t="e">
        <f t="shared" si="577"/>
        <v>#DIV/0!</v>
      </c>
      <c r="AO595" s="176" t="e">
        <f t="shared" si="578"/>
        <v>#DIV/0!</v>
      </c>
      <c r="AP595" s="176" t="e">
        <f t="shared" si="579"/>
        <v>#DIV/0!</v>
      </c>
      <c r="AQ595" s="176" t="e">
        <f t="shared" si="580"/>
        <v>#DIV/0!</v>
      </c>
      <c r="AR595" s="176" t="e">
        <f t="shared" si="581"/>
        <v>#DIV/0!</v>
      </c>
      <c r="AS595" s="176" t="e">
        <f t="shared" si="582"/>
        <v>#DIV/0!</v>
      </c>
      <c r="AT595" s="176" t="e">
        <f t="shared" si="583"/>
        <v>#DIV/0!</v>
      </c>
      <c r="AU595" s="176" t="e">
        <f t="shared" si="584"/>
        <v>#DIV/0!</v>
      </c>
      <c r="AV595" s="176" t="e">
        <f t="shared" si="585"/>
        <v>#DIV/0!</v>
      </c>
    </row>
    <row r="596" spans="1:48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590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61">
        <v>0</v>
      </c>
      <c r="X596" s="21"/>
      <c r="Y596" s="21"/>
      <c r="Z596" s="21"/>
      <c r="AA596" s="21"/>
      <c r="AB596" s="21"/>
      <c r="AC596" s="21"/>
      <c r="AD596" s="21"/>
      <c r="AE596" s="21"/>
      <c r="AF596" s="261">
        <f t="shared" si="591"/>
        <v>0</v>
      </c>
      <c r="AG596" s="21">
        <f t="shared" si="592"/>
        <v>0</v>
      </c>
      <c r="AI596" s="176" t="e">
        <f t="shared" si="572"/>
        <v>#DIV/0!</v>
      </c>
      <c r="AJ596" s="176" t="e">
        <f t="shared" si="573"/>
        <v>#DIV/0!</v>
      </c>
      <c r="AK596" s="176" t="e">
        <f t="shared" si="574"/>
        <v>#DIV/0!</v>
      </c>
      <c r="AL596" s="176" t="e">
        <f t="shared" si="575"/>
        <v>#DIV/0!</v>
      </c>
      <c r="AM596" s="176" t="e">
        <f t="shared" si="576"/>
        <v>#DIV/0!</v>
      </c>
      <c r="AN596" s="176" t="e">
        <f t="shared" si="577"/>
        <v>#DIV/0!</v>
      </c>
      <c r="AO596" s="176" t="e">
        <f t="shared" si="578"/>
        <v>#DIV/0!</v>
      </c>
      <c r="AP596" s="176" t="e">
        <f t="shared" si="579"/>
        <v>#DIV/0!</v>
      </c>
      <c r="AQ596" s="176" t="e">
        <f t="shared" si="580"/>
        <v>#DIV/0!</v>
      </c>
      <c r="AR596" s="176" t="e">
        <f t="shared" si="581"/>
        <v>#DIV/0!</v>
      </c>
      <c r="AS596" s="176" t="e">
        <f t="shared" si="582"/>
        <v>#DIV/0!</v>
      </c>
      <c r="AT596" s="176" t="e">
        <f t="shared" si="583"/>
        <v>#DIV/0!</v>
      </c>
      <c r="AU596" s="176" t="e">
        <f t="shared" si="584"/>
        <v>#DIV/0!</v>
      </c>
      <c r="AV596" s="176" t="e">
        <f t="shared" si="585"/>
        <v>#DIV/0!</v>
      </c>
    </row>
    <row r="597" spans="1:48" x14ac:dyDescent="0.25">
      <c r="A597" s="185">
        <v>306126</v>
      </c>
      <c r="B597" s="182" t="s">
        <v>1150</v>
      </c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>
        <f t="shared" si="590"/>
        <v>0</v>
      </c>
      <c r="P597" s="184"/>
      <c r="R597" s="185"/>
      <c r="S597" s="182"/>
      <c r="T597" s="184"/>
      <c r="U597" s="184">
        <v>0</v>
      </c>
      <c r="V597" s="184">
        <v>0</v>
      </c>
      <c r="W597" s="261">
        <v>11442000</v>
      </c>
      <c r="X597" s="184"/>
      <c r="Y597" s="184"/>
      <c r="Z597" s="184"/>
      <c r="AA597" s="184"/>
      <c r="AB597" s="184"/>
      <c r="AC597" s="184"/>
      <c r="AD597" s="184"/>
      <c r="AE597" s="184"/>
      <c r="AF597" s="261">
        <f t="shared" si="591"/>
        <v>11442000</v>
      </c>
      <c r="AG597" s="184">
        <f t="shared" si="592"/>
        <v>11442000</v>
      </c>
      <c r="AI597" s="176" t="e">
        <f t="shared" si="572"/>
        <v>#DIV/0!</v>
      </c>
      <c r="AJ597" s="176" t="e">
        <f t="shared" si="573"/>
        <v>#DIV/0!</v>
      </c>
      <c r="AK597" s="176" t="e">
        <f t="shared" si="574"/>
        <v>#DIV/0!</v>
      </c>
      <c r="AL597" s="176" t="e">
        <f t="shared" si="575"/>
        <v>#DIV/0!</v>
      </c>
      <c r="AM597" s="176" t="e">
        <f t="shared" si="576"/>
        <v>#DIV/0!</v>
      </c>
      <c r="AN597" s="176" t="e">
        <f t="shared" si="577"/>
        <v>#DIV/0!</v>
      </c>
      <c r="AO597" s="176" t="e">
        <f t="shared" si="578"/>
        <v>#DIV/0!</v>
      </c>
      <c r="AP597" s="176" t="e">
        <f t="shared" si="579"/>
        <v>#DIV/0!</v>
      </c>
      <c r="AQ597" s="176" t="e">
        <f t="shared" si="580"/>
        <v>#DIV/0!</v>
      </c>
      <c r="AR597" s="176" t="e">
        <f t="shared" si="581"/>
        <v>#DIV/0!</v>
      </c>
      <c r="AS597" s="176" t="e">
        <f t="shared" si="582"/>
        <v>#DIV/0!</v>
      </c>
      <c r="AT597" s="176" t="e">
        <f t="shared" si="583"/>
        <v>#DIV/0!</v>
      </c>
      <c r="AU597" s="176" t="e">
        <f t="shared" si="584"/>
        <v>#DIV/0!</v>
      </c>
      <c r="AV597" s="176" t="e">
        <f t="shared" si="585"/>
        <v>#DIV/0!</v>
      </c>
    </row>
    <row r="598" spans="1:48" x14ac:dyDescent="0.25">
      <c r="A598" s="185">
        <v>306127</v>
      </c>
      <c r="B598" s="182" t="s">
        <v>1151</v>
      </c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>
        <f t="shared" si="590"/>
        <v>0</v>
      </c>
      <c r="P598" s="184"/>
      <c r="R598" s="185"/>
      <c r="S598" s="182"/>
      <c r="T598" s="184"/>
      <c r="U598" s="184">
        <v>0</v>
      </c>
      <c r="V598" s="184">
        <v>0</v>
      </c>
      <c r="W598" s="261">
        <v>0</v>
      </c>
      <c r="X598" s="184"/>
      <c r="Y598" s="184"/>
      <c r="Z598" s="184"/>
      <c r="AA598" s="184"/>
      <c r="AB598" s="184"/>
      <c r="AC598" s="184"/>
      <c r="AD598" s="184"/>
      <c r="AE598" s="184"/>
      <c r="AF598" s="261">
        <f t="shared" si="591"/>
        <v>0</v>
      </c>
      <c r="AG598" s="184">
        <f t="shared" si="592"/>
        <v>0</v>
      </c>
      <c r="AI598" s="176" t="e">
        <f t="shared" si="572"/>
        <v>#DIV/0!</v>
      </c>
      <c r="AJ598" s="176" t="e">
        <f t="shared" si="573"/>
        <v>#DIV/0!</v>
      </c>
      <c r="AK598" s="176" t="e">
        <f t="shared" si="574"/>
        <v>#DIV/0!</v>
      </c>
      <c r="AL598" s="176" t="e">
        <f t="shared" si="575"/>
        <v>#DIV/0!</v>
      </c>
      <c r="AM598" s="176" t="e">
        <f t="shared" si="576"/>
        <v>#DIV/0!</v>
      </c>
      <c r="AN598" s="176" t="e">
        <f t="shared" si="577"/>
        <v>#DIV/0!</v>
      </c>
      <c r="AO598" s="176" t="e">
        <f t="shared" si="578"/>
        <v>#DIV/0!</v>
      </c>
      <c r="AP598" s="176" t="e">
        <f t="shared" si="579"/>
        <v>#DIV/0!</v>
      </c>
      <c r="AQ598" s="176" t="e">
        <f t="shared" si="580"/>
        <v>#DIV/0!</v>
      </c>
      <c r="AR598" s="176" t="e">
        <f t="shared" si="581"/>
        <v>#DIV/0!</v>
      </c>
      <c r="AS598" s="176" t="e">
        <f t="shared" si="582"/>
        <v>#DIV/0!</v>
      </c>
      <c r="AT598" s="176" t="e">
        <f t="shared" si="583"/>
        <v>#DIV/0!</v>
      </c>
      <c r="AU598" s="176" t="e">
        <f t="shared" si="584"/>
        <v>#DIV/0!</v>
      </c>
      <c r="AV598" s="176" t="e">
        <f t="shared" si="585"/>
        <v>#DIV/0!</v>
      </c>
    </row>
    <row r="599" spans="1:48" x14ac:dyDescent="0.25">
      <c r="A599" s="185">
        <v>306128</v>
      </c>
      <c r="B599" s="182" t="s">
        <v>1152</v>
      </c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>
        <f t="shared" si="590"/>
        <v>0</v>
      </c>
      <c r="P599" s="184"/>
      <c r="R599" s="185"/>
      <c r="S599" s="182"/>
      <c r="T599" s="184"/>
      <c r="U599" s="184">
        <v>0</v>
      </c>
      <c r="V599" s="184">
        <v>0</v>
      </c>
      <c r="W599" s="261">
        <v>0</v>
      </c>
      <c r="X599" s="184"/>
      <c r="Y599" s="184"/>
      <c r="Z599" s="184"/>
      <c r="AA599" s="184"/>
      <c r="AB599" s="184"/>
      <c r="AC599" s="184"/>
      <c r="AD599" s="184"/>
      <c r="AE599" s="184"/>
      <c r="AF599" s="261">
        <f t="shared" si="591"/>
        <v>0</v>
      </c>
      <c r="AG599" s="184">
        <f t="shared" si="592"/>
        <v>0</v>
      </c>
      <c r="AI599" s="176" t="e">
        <f t="shared" si="572"/>
        <v>#DIV/0!</v>
      </c>
      <c r="AJ599" s="176" t="e">
        <f t="shared" si="573"/>
        <v>#DIV/0!</v>
      </c>
      <c r="AK599" s="176" t="e">
        <f t="shared" si="574"/>
        <v>#DIV/0!</v>
      </c>
      <c r="AL599" s="176" t="e">
        <f t="shared" si="575"/>
        <v>#DIV/0!</v>
      </c>
      <c r="AM599" s="176" t="e">
        <f t="shared" si="576"/>
        <v>#DIV/0!</v>
      </c>
      <c r="AN599" s="176" t="e">
        <f t="shared" si="577"/>
        <v>#DIV/0!</v>
      </c>
      <c r="AO599" s="176" t="e">
        <f t="shared" si="578"/>
        <v>#DIV/0!</v>
      </c>
      <c r="AP599" s="176" t="e">
        <f t="shared" si="579"/>
        <v>#DIV/0!</v>
      </c>
      <c r="AQ599" s="176" t="e">
        <f t="shared" si="580"/>
        <v>#DIV/0!</v>
      </c>
      <c r="AR599" s="176" t="e">
        <f t="shared" si="581"/>
        <v>#DIV/0!</v>
      </c>
      <c r="AS599" s="176" t="e">
        <f t="shared" si="582"/>
        <v>#DIV/0!</v>
      </c>
      <c r="AT599" s="176" t="e">
        <f t="shared" si="583"/>
        <v>#DIV/0!</v>
      </c>
      <c r="AU599" s="176" t="e">
        <f t="shared" si="584"/>
        <v>#DIV/0!</v>
      </c>
      <c r="AV599" s="176" t="e">
        <f t="shared" si="585"/>
        <v>#DIV/0!</v>
      </c>
    </row>
    <row r="600" spans="1:48" x14ac:dyDescent="0.25">
      <c r="A600" s="185">
        <v>306129</v>
      </c>
      <c r="B600" s="182" t="s">
        <v>1153</v>
      </c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>
        <f t="shared" si="590"/>
        <v>0</v>
      </c>
      <c r="P600" s="184"/>
      <c r="R600" s="185"/>
      <c r="S600" s="182"/>
      <c r="T600" s="184"/>
      <c r="U600" s="184">
        <v>0</v>
      </c>
      <c r="V600" s="184">
        <v>176283155.16</v>
      </c>
      <c r="W600" s="261">
        <v>0</v>
      </c>
      <c r="X600" s="184"/>
      <c r="Y600" s="184"/>
      <c r="Z600" s="184"/>
      <c r="AA600" s="184"/>
      <c r="AB600" s="184"/>
      <c r="AC600" s="184"/>
      <c r="AD600" s="184"/>
      <c r="AE600" s="184"/>
      <c r="AF600" s="261">
        <f t="shared" si="591"/>
        <v>176283155.16</v>
      </c>
      <c r="AG600" s="184">
        <f t="shared" si="592"/>
        <v>176283155.16</v>
      </c>
      <c r="AI600" s="176" t="e">
        <f t="shared" si="572"/>
        <v>#DIV/0!</v>
      </c>
      <c r="AJ600" s="176" t="e">
        <f t="shared" si="573"/>
        <v>#DIV/0!</v>
      </c>
      <c r="AK600" s="176" t="e">
        <f t="shared" si="574"/>
        <v>#DIV/0!</v>
      </c>
      <c r="AL600" s="176" t="e">
        <f t="shared" si="575"/>
        <v>#DIV/0!</v>
      </c>
      <c r="AM600" s="176" t="e">
        <f t="shared" si="576"/>
        <v>#DIV/0!</v>
      </c>
      <c r="AN600" s="176" t="e">
        <f t="shared" si="577"/>
        <v>#DIV/0!</v>
      </c>
      <c r="AO600" s="176" t="e">
        <f t="shared" si="578"/>
        <v>#DIV/0!</v>
      </c>
      <c r="AP600" s="176" t="e">
        <f t="shared" si="579"/>
        <v>#DIV/0!</v>
      </c>
      <c r="AQ600" s="176" t="e">
        <f t="shared" si="580"/>
        <v>#DIV/0!</v>
      </c>
      <c r="AR600" s="176" t="e">
        <f t="shared" si="581"/>
        <v>#DIV/0!</v>
      </c>
      <c r="AS600" s="176" t="e">
        <f t="shared" si="582"/>
        <v>#DIV/0!</v>
      </c>
      <c r="AT600" s="176" t="e">
        <f t="shared" si="583"/>
        <v>#DIV/0!</v>
      </c>
      <c r="AU600" s="176" t="e">
        <f t="shared" si="584"/>
        <v>#DIV/0!</v>
      </c>
      <c r="AV600" s="176" t="e">
        <f t="shared" si="585"/>
        <v>#DIV/0!</v>
      </c>
    </row>
    <row r="601" spans="1:48" x14ac:dyDescent="0.25">
      <c r="A601" s="185">
        <v>306130</v>
      </c>
      <c r="B601" s="182" t="s">
        <v>1154</v>
      </c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>
        <f t="shared" si="590"/>
        <v>0</v>
      </c>
      <c r="P601" s="184"/>
      <c r="R601" s="185"/>
      <c r="S601" s="182"/>
      <c r="T601" s="184"/>
      <c r="U601" s="184">
        <v>0</v>
      </c>
      <c r="V601" s="184">
        <v>0</v>
      </c>
      <c r="W601" s="261">
        <v>668476</v>
      </c>
      <c r="X601" s="184"/>
      <c r="Y601" s="184"/>
      <c r="Z601" s="184"/>
      <c r="AA601" s="184"/>
      <c r="AB601" s="184"/>
      <c r="AC601" s="184"/>
      <c r="AD601" s="184"/>
      <c r="AE601" s="184"/>
      <c r="AF601" s="261">
        <f t="shared" si="591"/>
        <v>668476</v>
      </c>
      <c r="AG601" s="184">
        <f t="shared" si="592"/>
        <v>668476</v>
      </c>
      <c r="AI601" s="176" t="e">
        <f t="shared" si="572"/>
        <v>#DIV/0!</v>
      </c>
      <c r="AJ601" s="176" t="e">
        <f t="shared" si="573"/>
        <v>#DIV/0!</v>
      </c>
      <c r="AK601" s="176" t="e">
        <f t="shared" si="574"/>
        <v>#DIV/0!</v>
      </c>
      <c r="AL601" s="176" t="e">
        <f t="shared" si="575"/>
        <v>#DIV/0!</v>
      </c>
      <c r="AM601" s="176" t="e">
        <f t="shared" si="576"/>
        <v>#DIV/0!</v>
      </c>
      <c r="AN601" s="176" t="e">
        <f t="shared" si="577"/>
        <v>#DIV/0!</v>
      </c>
      <c r="AO601" s="176" t="e">
        <f t="shared" si="578"/>
        <v>#DIV/0!</v>
      </c>
      <c r="AP601" s="176" t="e">
        <f t="shared" si="579"/>
        <v>#DIV/0!</v>
      </c>
      <c r="AQ601" s="176" t="e">
        <f t="shared" si="580"/>
        <v>#DIV/0!</v>
      </c>
      <c r="AR601" s="176" t="e">
        <f t="shared" si="581"/>
        <v>#DIV/0!</v>
      </c>
      <c r="AS601" s="176" t="e">
        <f t="shared" si="582"/>
        <v>#DIV/0!</v>
      </c>
      <c r="AT601" s="176" t="e">
        <f t="shared" si="583"/>
        <v>#DIV/0!</v>
      </c>
      <c r="AU601" s="176" t="e">
        <f t="shared" si="584"/>
        <v>#DIV/0!</v>
      </c>
      <c r="AV601" s="176" t="e">
        <f t="shared" si="585"/>
        <v>#DIV/0!</v>
      </c>
    </row>
    <row r="602" spans="1:48" x14ac:dyDescent="0.25">
      <c r="A602" s="185">
        <v>306131</v>
      </c>
      <c r="B602" s="182" t="s">
        <v>1155</v>
      </c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>
        <f t="shared" si="590"/>
        <v>0</v>
      </c>
      <c r="P602" s="184"/>
      <c r="R602" s="185"/>
      <c r="S602" s="182"/>
      <c r="T602" s="184"/>
      <c r="U602" s="184">
        <v>0</v>
      </c>
      <c r="V602" s="184">
        <v>0</v>
      </c>
      <c r="W602" s="261">
        <v>0</v>
      </c>
      <c r="X602" s="184"/>
      <c r="Y602" s="184"/>
      <c r="Z602" s="184"/>
      <c r="AA602" s="184"/>
      <c r="AB602" s="184"/>
      <c r="AC602" s="184"/>
      <c r="AD602" s="184"/>
      <c r="AE602" s="184"/>
      <c r="AF602" s="261">
        <f t="shared" si="591"/>
        <v>0</v>
      </c>
      <c r="AG602" s="184">
        <f t="shared" si="592"/>
        <v>0</v>
      </c>
      <c r="AI602" s="176" t="e">
        <f t="shared" si="572"/>
        <v>#DIV/0!</v>
      </c>
      <c r="AJ602" s="176" t="e">
        <f t="shared" si="573"/>
        <v>#DIV/0!</v>
      </c>
      <c r="AK602" s="176" t="e">
        <f t="shared" si="574"/>
        <v>#DIV/0!</v>
      </c>
      <c r="AL602" s="176" t="e">
        <f t="shared" si="575"/>
        <v>#DIV/0!</v>
      </c>
      <c r="AM602" s="176" t="e">
        <f t="shared" si="576"/>
        <v>#DIV/0!</v>
      </c>
      <c r="AN602" s="176" t="e">
        <f t="shared" si="577"/>
        <v>#DIV/0!</v>
      </c>
      <c r="AO602" s="176" t="e">
        <f t="shared" si="578"/>
        <v>#DIV/0!</v>
      </c>
      <c r="AP602" s="176" t="e">
        <f t="shared" si="579"/>
        <v>#DIV/0!</v>
      </c>
      <c r="AQ602" s="176" t="e">
        <f t="shared" si="580"/>
        <v>#DIV/0!</v>
      </c>
      <c r="AR602" s="176" t="e">
        <f t="shared" si="581"/>
        <v>#DIV/0!</v>
      </c>
      <c r="AS602" s="176" t="e">
        <f t="shared" si="582"/>
        <v>#DIV/0!</v>
      </c>
      <c r="AT602" s="176" t="e">
        <f t="shared" si="583"/>
        <v>#DIV/0!</v>
      </c>
      <c r="AU602" s="176" t="e">
        <f t="shared" si="584"/>
        <v>#DIV/0!</v>
      </c>
      <c r="AV602" s="176" t="e">
        <f t="shared" si="585"/>
        <v>#DIV/0!</v>
      </c>
    </row>
    <row r="603" spans="1:48" x14ac:dyDescent="0.25">
      <c r="A603" s="185">
        <v>306132</v>
      </c>
      <c r="B603" s="182" t="s">
        <v>1156</v>
      </c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>
        <f t="shared" si="590"/>
        <v>0</v>
      </c>
      <c r="P603" s="184"/>
      <c r="R603" s="185"/>
      <c r="S603" s="182"/>
      <c r="T603" s="184"/>
      <c r="U603" s="184">
        <v>0</v>
      </c>
      <c r="V603" s="184">
        <v>8150392.8399999999</v>
      </c>
      <c r="W603" s="261">
        <v>0</v>
      </c>
      <c r="X603" s="184"/>
      <c r="Y603" s="184"/>
      <c r="Z603" s="184"/>
      <c r="AA603" s="184"/>
      <c r="AB603" s="184"/>
      <c r="AC603" s="184"/>
      <c r="AD603" s="184"/>
      <c r="AE603" s="184"/>
      <c r="AF603" s="261">
        <f t="shared" si="591"/>
        <v>8150392.8399999999</v>
      </c>
      <c r="AG603" s="184">
        <f t="shared" si="592"/>
        <v>8150392.8399999999</v>
      </c>
      <c r="AI603" s="176" t="e">
        <f t="shared" si="572"/>
        <v>#DIV/0!</v>
      </c>
      <c r="AJ603" s="176" t="e">
        <f t="shared" si="573"/>
        <v>#DIV/0!</v>
      </c>
      <c r="AK603" s="176" t="e">
        <f t="shared" si="574"/>
        <v>#DIV/0!</v>
      </c>
      <c r="AL603" s="176" t="e">
        <f t="shared" si="575"/>
        <v>#DIV/0!</v>
      </c>
      <c r="AM603" s="176" t="e">
        <f t="shared" si="576"/>
        <v>#DIV/0!</v>
      </c>
      <c r="AN603" s="176" t="e">
        <f t="shared" si="577"/>
        <v>#DIV/0!</v>
      </c>
      <c r="AO603" s="176" t="e">
        <f t="shared" si="578"/>
        <v>#DIV/0!</v>
      </c>
      <c r="AP603" s="176" t="e">
        <f t="shared" si="579"/>
        <v>#DIV/0!</v>
      </c>
      <c r="AQ603" s="176" t="e">
        <f t="shared" si="580"/>
        <v>#DIV/0!</v>
      </c>
      <c r="AR603" s="176" t="e">
        <f t="shared" si="581"/>
        <v>#DIV/0!</v>
      </c>
      <c r="AS603" s="176" t="e">
        <f t="shared" si="582"/>
        <v>#DIV/0!</v>
      </c>
      <c r="AT603" s="176" t="e">
        <f t="shared" si="583"/>
        <v>#DIV/0!</v>
      </c>
      <c r="AU603" s="176" t="e">
        <f t="shared" si="584"/>
        <v>#DIV/0!</v>
      </c>
      <c r="AV603" s="176" t="e">
        <f t="shared" si="585"/>
        <v>#DIV/0!</v>
      </c>
    </row>
    <row r="604" spans="1:48" x14ac:dyDescent="0.25">
      <c r="A604" s="185">
        <v>306133</v>
      </c>
      <c r="B604" s="182" t="s">
        <v>1157</v>
      </c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>
        <f t="shared" si="590"/>
        <v>0</v>
      </c>
      <c r="P604" s="184"/>
      <c r="R604" s="185"/>
      <c r="S604" s="182"/>
      <c r="T604" s="184"/>
      <c r="U604" s="184">
        <v>0</v>
      </c>
      <c r="V604" s="184">
        <v>0</v>
      </c>
      <c r="W604" s="261">
        <v>0</v>
      </c>
      <c r="X604" s="184"/>
      <c r="Y604" s="184"/>
      <c r="Z604" s="184"/>
      <c r="AA604" s="184"/>
      <c r="AB604" s="184"/>
      <c r="AC604" s="184"/>
      <c r="AD604" s="184"/>
      <c r="AE604" s="184"/>
      <c r="AF604" s="261">
        <f t="shared" si="591"/>
        <v>0</v>
      </c>
      <c r="AG604" s="184">
        <f t="shared" si="592"/>
        <v>0</v>
      </c>
      <c r="AI604" s="176" t="e">
        <f t="shared" si="572"/>
        <v>#DIV/0!</v>
      </c>
      <c r="AJ604" s="176" t="e">
        <f t="shared" si="573"/>
        <v>#DIV/0!</v>
      </c>
      <c r="AK604" s="176" t="e">
        <f t="shared" si="574"/>
        <v>#DIV/0!</v>
      </c>
      <c r="AL604" s="176" t="e">
        <f t="shared" si="575"/>
        <v>#DIV/0!</v>
      </c>
      <c r="AM604" s="176" t="e">
        <f t="shared" si="576"/>
        <v>#DIV/0!</v>
      </c>
      <c r="AN604" s="176" t="e">
        <f t="shared" si="577"/>
        <v>#DIV/0!</v>
      </c>
      <c r="AO604" s="176" t="e">
        <f t="shared" si="578"/>
        <v>#DIV/0!</v>
      </c>
      <c r="AP604" s="176" t="e">
        <f t="shared" si="579"/>
        <v>#DIV/0!</v>
      </c>
      <c r="AQ604" s="176" t="e">
        <f t="shared" si="580"/>
        <v>#DIV/0!</v>
      </c>
      <c r="AR604" s="176" t="e">
        <f t="shared" si="581"/>
        <v>#DIV/0!</v>
      </c>
      <c r="AS604" s="176" t="e">
        <f t="shared" si="582"/>
        <v>#DIV/0!</v>
      </c>
      <c r="AT604" s="176" t="e">
        <f t="shared" si="583"/>
        <v>#DIV/0!</v>
      </c>
      <c r="AU604" s="176" t="e">
        <f t="shared" si="584"/>
        <v>#DIV/0!</v>
      </c>
      <c r="AV604" s="176" t="e">
        <f t="shared" si="585"/>
        <v>#DIV/0!</v>
      </c>
    </row>
    <row r="605" spans="1:48" x14ac:dyDescent="0.25">
      <c r="A605" s="185">
        <v>306134</v>
      </c>
      <c r="B605" s="182" t="s">
        <v>1158</v>
      </c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>
        <f t="shared" si="590"/>
        <v>0</v>
      </c>
      <c r="P605" s="184"/>
      <c r="R605" s="185"/>
      <c r="S605" s="182"/>
      <c r="T605" s="184"/>
      <c r="U605" s="184">
        <v>0</v>
      </c>
      <c r="V605" s="184">
        <v>0</v>
      </c>
      <c r="W605" s="261">
        <v>0</v>
      </c>
      <c r="X605" s="184"/>
      <c r="Y605" s="184"/>
      <c r="Z605" s="184"/>
      <c r="AA605" s="184"/>
      <c r="AB605" s="184"/>
      <c r="AC605" s="184"/>
      <c r="AD605" s="184"/>
      <c r="AE605" s="184"/>
      <c r="AF605" s="261">
        <f t="shared" si="591"/>
        <v>0</v>
      </c>
      <c r="AG605" s="184">
        <f t="shared" si="592"/>
        <v>0</v>
      </c>
      <c r="AI605" s="176" t="e">
        <f t="shared" si="572"/>
        <v>#DIV/0!</v>
      </c>
      <c r="AJ605" s="176" t="e">
        <f t="shared" si="573"/>
        <v>#DIV/0!</v>
      </c>
      <c r="AK605" s="176" t="e">
        <f t="shared" si="574"/>
        <v>#DIV/0!</v>
      </c>
      <c r="AL605" s="176" t="e">
        <f t="shared" si="575"/>
        <v>#DIV/0!</v>
      </c>
      <c r="AM605" s="176" t="e">
        <f t="shared" si="576"/>
        <v>#DIV/0!</v>
      </c>
      <c r="AN605" s="176" t="e">
        <f t="shared" si="577"/>
        <v>#DIV/0!</v>
      </c>
      <c r="AO605" s="176" t="e">
        <f t="shared" si="578"/>
        <v>#DIV/0!</v>
      </c>
      <c r="AP605" s="176" t="e">
        <f t="shared" si="579"/>
        <v>#DIV/0!</v>
      </c>
      <c r="AQ605" s="176" t="e">
        <f t="shared" si="580"/>
        <v>#DIV/0!</v>
      </c>
      <c r="AR605" s="176" t="e">
        <f t="shared" si="581"/>
        <v>#DIV/0!</v>
      </c>
      <c r="AS605" s="176" t="e">
        <f t="shared" si="582"/>
        <v>#DIV/0!</v>
      </c>
      <c r="AT605" s="176" t="e">
        <f t="shared" si="583"/>
        <v>#DIV/0!</v>
      </c>
      <c r="AU605" s="176" t="e">
        <f t="shared" si="584"/>
        <v>#DIV/0!</v>
      </c>
      <c r="AV605" s="176" t="e">
        <f t="shared" si="585"/>
        <v>#DIV/0!</v>
      </c>
    </row>
    <row r="606" spans="1:48" x14ac:dyDescent="0.25">
      <c r="A606" s="185">
        <v>306135</v>
      </c>
      <c r="B606" s="182" t="s">
        <v>1159</v>
      </c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>
        <f t="shared" si="590"/>
        <v>0</v>
      </c>
      <c r="P606" s="184"/>
      <c r="R606" s="185"/>
      <c r="S606" s="182"/>
      <c r="T606" s="184"/>
      <c r="U606" s="184">
        <v>0</v>
      </c>
      <c r="V606" s="184">
        <v>0</v>
      </c>
      <c r="W606" s="261">
        <v>0</v>
      </c>
      <c r="X606" s="184"/>
      <c r="Y606" s="184"/>
      <c r="Z606" s="184"/>
      <c r="AA606" s="184"/>
      <c r="AB606" s="184"/>
      <c r="AC606" s="184"/>
      <c r="AD606" s="184"/>
      <c r="AE606" s="184"/>
      <c r="AF606" s="261">
        <f t="shared" si="591"/>
        <v>0</v>
      </c>
      <c r="AG606" s="184">
        <f t="shared" si="592"/>
        <v>0</v>
      </c>
      <c r="AI606" s="176" t="e">
        <f t="shared" si="572"/>
        <v>#DIV/0!</v>
      </c>
      <c r="AJ606" s="176" t="e">
        <f t="shared" si="573"/>
        <v>#DIV/0!</v>
      </c>
      <c r="AK606" s="176" t="e">
        <f t="shared" si="574"/>
        <v>#DIV/0!</v>
      </c>
      <c r="AL606" s="176" t="e">
        <f t="shared" si="575"/>
        <v>#DIV/0!</v>
      </c>
      <c r="AM606" s="176" t="e">
        <f t="shared" si="576"/>
        <v>#DIV/0!</v>
      </c>
      <c r="AN606" s="176" t="e">
        <f t="shared" si="577"/>
        <v>#DIV/0!</v>
      </c>
      <c r="AO606" s="176" t="e">
        <f t="shared" si="578"/>
        <v>#DIV/0!</v>
      </c>
      <c r="AP606" s="176" t="e">
        <f t="shared" si="579"/>
        <v>#DIV/0!</v>
      </c>
      <c r="AQ606" s="176" t="e">
        <f t="shared" si="580"/>
        <v>#DIV/0!</v>
      </c>
      <c r="AR606" s="176" t="e">
        <f t="shared" si="581"/>
        <v>#DIV/0!</v>
      </c>
      <c r="AS606" s="176" t="e">
        <f t="shared" si="582"/>
        <v>#DIV/0!</v>
      </c>
      <c r="AT606" s="176" t="e">
        <f t="shared" si="583"/>
        <v>#DIV/0!</v>
      </c>
      <c r="AU606" s="176" t="e">
        <f t="shared" si="584"/>
        <v>#DIV/0!</v>
      </c>
      <c r="AV606" s="176" t="e">
        <f t="shared" si="585"/>
        <v>#DIV/0!</v>
      </c>
    </row>
    <row r="607" spans="1:48" x14ac:dyDescent="0.25">
      <c r="A607" s="185">
        <v>306136</v>
      </c>
      <c r="B607" s="182" t="s">
        <v>1160</v>
      </c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>
        <f t="shared" si="590"/>
        <v>0</v>
      </c>
      <c r="P607" s="184"/>
      <c r="R607" s="185"/>
      <c r="S607" s="182"/>
      <c r="T607" s="184"/>
      <c r="U607" s="184">
        <v>0</v>
      </c>
      <c r="V607" s="184">
        <v>0</v>
      </c>
      <c r="W607" s="261">
        <v>0</v>
      </c>
      <c r="X607" s="184"/>
      <c r="Y607" s="184"/>
      <c r="Z607" s="184"/>
      <c r="AA607" s="184"/>
      <c r="AB607" s="184"/>
      <c r="AC607" s="184"/>
      <c r="AD607" s="184"/>
      <c r="AE607" s="184"/>
      <c r="AF607" s="261">
        <f t="shared" si="591"/>
        <v>0</v>
      </c>
      <c r="AG607" s="184">
        <f t="shared" si="592"/>
        <v>0</v>
      </c>
      <c r="AI607" s="176" t="e">
        <f t="shared" si="572"/>
        <v>#DIV/0!</v>
      </c>
      <c r="AJ607" s="176" t="e">
        <f t="shared" si="573"/>
        <v>#DIV/0!</v>
      </c>
      <c r="AK607" s="176" t="e">
        <f t="shared" si="574"/>
        <v>#DIV/0!</v>
      </c>
      <c r="AL607" s="176" t="e">
        <f t="shared" si="575"/>
        <v>#DIV/0!</v>
      </c>
      <c r="AM607" s="176" t="e">
        <f t="shared" si="576"/>
        <v>#DIV/0!</v>
      </c>
      <c r="AN607" s="176" t="e">
        <f t="shared" si="577"/>
        <v>#DIV/0!</v>
      </c>
      <c r="AO607" s="176" t="e">
        <f t="shared" si="578"/>
        <v>#DIV/0!</v>
      </c>
      <c r="AP607" s="176" t="e">
        <f t="shared" si="579"/>
        <v>#DIV/0!</v>
      </c>
      <c r="AQ607" s="176" t="e">
        <f t="shared" si="580"/>
        <v>#DIV/0!</v>
      </c>
      <c r="AR607" s="176" t="e">
        <f t="shared" si="581"/>
        <v>#DIV/0!</v>
      </c>
      <c r="AS607" s="176" t="e">
        <f t="shared" si="582"/>
        <v>#DIV/0!</v>
      </c>
      <c r="AT607" s="176" t="e">
        <f t="shared" si="583"/>
        <v>#DIV/0!</v>
      </c>
      <c r="AU607" s="176" t="e">
        <f t="shared" si="584"/>
        <v>#DIV/0!</v>
      </c>
      <c r="AV607" s="176" t="e">
        <f t="shared" si="585"/>
        <v>#DIV/0!</v>
      </c>
    </row>
    <row r="608" spans="1:48" x14ac:dyDescent="0.25">
      <c r="A608" s="185">
        <v>306137</v>
      </c>
      <c r="B608" s="182" t="s">
        <v>1161</v>
      </c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>
        <f t="shared" si="590"/>
        <v>0</v>
      </c>
      <c r="P608" s="184"/>
      <c r="R608" s="185"/>
      <c r="S608" s="182"/>
      <c r="T608" s="184"/>
      <c r="U608" s="184">
        <v>0</v>
      </c>
      <c r="V608" s="184">
        <v>0</v>
      </c>
      <c r="W608" s="261">
        <v>0</v>
      </c>
      <c r="X608" s="184"/>
      <c r="Y608" s="184"/>
      <c r="Z608" s="184"/>
      <c r="AA608" s="184"/>
      <c r="AB608" s="184"/>
      <c r="AC608" s="184"/>
      <c r="AD608" s="184"/>
      <c r="AE608" s="184"/>
      <c r="AF608" s="261">
        <f t="shared" si="591"/>
        <v>0</v>
      </c>
      <c r="AG608" s="184">
        <f t="shared" si="592"/>
        <v>0</v>
      </c>
      <c r="AI608" s="176" t="e">
        <f t="shared" si="572"/>
        <v>#DIV/0!</v>
      </c>
      <c r="AJ608" s="176" t="e">
        <f t="shared" si="573"/>
        <v>#DIV/0!</v>
      </c>
      <c r="AK608" s="176" t="e">
        <f t="shared" si="574"/>
        <v>#DIV/0!</v>
      </c>
      <c r="AL608" s="176" t="e">
        <f t="shared" si="575"/>
        <v>#DIV/0!</v>
      </c>
      <c r="AM608" s="176" t="e">
        <f t="shared" si="576"/>
        <v>#DIV/0!</v>
      </c>
      <c r="AN608" s="176" t="e">
        <f t="shared" si="577"/>
        <v>#DIV/0!</v>
      </c>
      <c r="AO608" s="176" t="e">
        <f t="shared" si="578"/>
        <v>#DIV/0!</v>
      </c>
      <c r="AP608" s="176" t="e">
        <f t="shared" si="579"/>
        <v>#DIV/0!</v>
      </c>
      <c r="AQ608" s="176" t="e">
        <f t="shared" si="580"/>
        <v>#DIV/0!</v>
      </c>
      <c r="AR608" s="176" t="e">
        <f t="shared" si="581"/>
        <v>#DIV/0!</v>
      </c>
      <c r="AS608" s="176" t="e">
        <f t="shared" si="582"/>
        <v>#DIV/0!</v>
      </c>
      <c r="AT608" s="176" t="e">
        <f t="shared" si="583"/>
        <v>#DIV/0!</v>
      </c>
      <c r="AU608" s="176" t="e">
        <f t="shared" si="584"/>
        <v>#DIV/0!</v>
      </c>
      <c r="AV608" s="176" t="e">
        <f t="shared" si="585"/>
        <v>#DIV/0!</v>
      </c>
    </row>
    <row r="609" spans="1:48" x14ac:dyDescent="0.25">
      <c r="A609" s="185">
        <v>306138</v>
      </c>
      <c r="B609" s="182" t="s">
        <v>1162</v>
      </c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>
        <f t="shared" si="590"/>
        <v>0</v>
      </c>
      <c r="P609" s="184"/>
      <c r="R609" s="185"/>
      <c r="S609" s="182"/>
      <c r="T609" s="184"/>
      <c r="U609" s="184">
        <v>0</v>
      </c>
      <c r="V609" s="184">
        <v>440000</v>
      </c>
      <c r="W609" s="261">
        <v>1320000</v>
      </c>
      <c r="X609" s="184"/>
      <c r="Y609" s="184"/>
      <c r="Z609" s="184"/>
      <c r="AA609" s="184"/>
      <c r="AB609" s="184"/>
      <c r="AC609" s="184"/>
      <c r="AD609" s="184"/>
      <c r="AE609" s="184"/>
      <c r="AF609" s="261">
        <f t="shared" si="591"/>
        <v>1760000</v>
      </c>
      <c r="AG609" s="184">
        <f t="shared" si="592"/>
        <v>1760000</v>
      </c>
      <c r="AI609" s="176" t="e">
        <f t="shared" si="572"/>
        <v>#DIV/0!</v>
      </c>
      <c r="AJ609" s="176" t="e">
        <f t="shared" si="573"/>
        <v>#DIV/0!</v>
      </c>
      <c r="AK609" s="176" t="e">
        <f t="shared" si="574"/>
        <v>#DIV/0!</v>
      </c>
      <c r="AL609" s="176" t="e">
        <f t="shared" si="575"/>
        <v>#DIV/0!</v>
      </c>
      <c r="AM609" s="176" t="e">
        <f t="shared" si="576"/>
        <v>#DIV/0!</v>
      </c>
      <c r="AN609" s="176" t="e">
        <f t="shared" si="577"/>
        <v>#DIV/0!</v>
      </c>
      <c r="AO609" s="176" t="e">
        <f t="shared" si="578"/>
        <v>#DIV/0!</v>
      </c>
      <c r="AP609" s="176" t="e">
        <f t="shared" si="579"/>
        <v>#DIV/0!</v>
      </c>
      <c r="AQ609" s="176" t="e">
        <f t="shared" si="580"/>
        <v>#DIV/0!</v>
      </c>
      <c r="AR609" s="176" t="e">
        <f t="shared" si="581"/>
        <v>#DIV/0!</v>
      </c>
      <c r="AS609" s="176" t="e">
        <f t="shared" si="582"/>
        <v>#DIV/0!</v>
      </c>
      <c r="AT609" s="176" t="e">
        <f t="shared" si="583"/>
        <v>#DIV/0!</v>
      </c>
      <c r="AU609" s="176" t="e">
        <f t="shared" si="584"/>
        <v>#DIV/0!</v>
      </c>
      <c r="AV609" s="176" t="e">
        <f t="shared" si="585"/>
        <v>#DIV/0!</v>
      </c>
    </row>
    <row r="610" spans="1:48" x14ac:dyDescent="0.25">
      <c r="A610" s="185">
        <v>306139</v>
      </c>
      <c r="B610" s="182" t="s">
        <v>1163</v>
      </c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>
        <f t="shared" si="590"/>
        <v>0</v>
      </c>
      <c r="P610" s="184"/>
      <c r="R610" s="185"/>
      <c r="S610" s="182"/>
      <c r="T610" s="184"/>
      <c r="U610" s="184">
        <v>0</v>
      </c>
      <c r="V610" s="184">
        <v>1760000</v>
      </c>
      <c r="W610" s="261">
        <v>2064000</v>
      </c>
      <c r="X610" s="184"/>
      <c r="Y610" s="184"/>
      <c r="Z610" s="184"/>
      <c r="AA610" s="184"/>
      <c r="AB610" s="184"/>
      <c r="AC610" s="184"/>
      <c r="AD610" s="184"/>
      <c r="AE610" s="184"/>
      <c r="AF610" s="261">
        <f t="shared" si="591"/>
        <v>3824000</v>
      </c>
      <c r="AG610" s="184">
        <f t="shared" si="592"/>
        <v>3824000</v>
      </c>
      <c r="AI610" s="176" t="e">
        <f t="shared" si="572"/>
        <v>#DIV/0!</v>
      </c>
      <c r="AJ610" s="176" t="e">
        <f t="shared" si="573"/>
        <v>#DIV/0!</v>
      </c>
      <c r="AK610" s="176" t="e">
        <f t="shared" si="574"/>
        <v>#DIV/0!</v>
      </c>
      <c r="AL610" s="176" t="e">
        <f t="shared" si="575"/>
        <v>#DIV/0!</v>
      </c>
      <c r="AM610" s="176" t="e">
        <f t="shared" si="576"/>
        <v>#DIV/0!</v>
      </c>
      <c r="AN610" s="176" t="e">
        <f t="shared" si="577"/>
        <v>#DIV/0!</v>
      </c>
      <c r="AO610" s="176" t="e">
        <f t="shared" si="578"/>
        <v>#DIV/0!</v>
      </c>
      <c r="AP610" s="176" t="e">
        <f t="shared" si="579"/>
        <v>#DIV/0!</v>
      </c>
      <c r="AQ610" s="176" t="e">
        <f t="shared" si="580"/>
        <v>#DIV/0!</v>
      </c>
      <c r="AR610" s="176" t="e">
        <f t="shared" si="581"/>
        <v>#DIV/0!</v>
      </c>
      <c r="AS610" s="176" t="e">
        <f t="shared" si="582"/>
        <v>#DIV/0!</v>
      </c>
      <c r="AT610" s="176" t="e">
        <f t="shared" si="583"/>
        <v>#DIV/0!</v>
      </c>
      <c r="AU610" s="176" t="e">
        <f t="shared" si="584"/>
        <v>#DIV/0!</v>
      </c>
      <c r="AV610" s="176" t="e">
        <f t="shared" si="585"/>
        <v>#DIV/0!</v>
      </c>
    </row>
    <row r="611" spans="1:48" x14ac:dyDescent="0.25">
      <c r="A611" s="185">
        <v>306140</v>
      </c>
      <c r="B611" s="182" t="s">
        <v>1164</v>
      </c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>
        <f t="shared" si="590"/>
        <v>0</v>
      </c>
      <c r="P611" s="184"/>
      <c r="R611" s="185"/>
      <c r="S611" s="182"/>
      <c r="T611" s="184"/>
      <c r="U611" s="184">
        <v>0</v>
      </c>
      <c r="V611" s="184">
        <v>3600000</v>
      </c>
      <c r="W611" s="261">
        <v>8000000</v>
      </c>
      <c r="X611" s="184"/>
      <c r="Y611" s="184"/>
      <c r="Z611" s="184"/>
      <c r="AA611" s="184"/>
      <c r="AB611" s="184"/>
      <c r="AC611" s="184"/>
      <c r="AD611" s="184"/>
      <c r="AE611" s="184"/>
      <c r="AF611" s="261">
        <f t="shared" si="591"/>
        <v>11600000</v>
      </c>
      <c r="AG611" s="184">
        <f t="shared" si="592"/>
        <v>11600000</v>
      </c>
      <c r="AI611" s="176" t="e">
        <f t="shared" si="572"/>
        <v>#DIV/0!</v>
      </c>
      <c r="AJ611" s="176" t="e">
        <f t="shared" si="573"/>
        <v>#DIV/0!</v>
      </c>
      <c r="AK611" s="176" t="e">
        <f t="shared" si="574"/>
        <v>#DIV/0!</v>
      </c>
      <c r="AL611" s="176" t="e">
        <f t="shared" si="575"/>
        <v>#DIV/0!</v>
      </c>
      <c r="AM611" s="176" t="e">
        <f t="shared" si="576"/>
        <v>#DIV/0!</v>
      </c>
      <c r="AN611" s="176" t="e">
        <f t="shared" si="577"/>
        <v>#DIV/0!</v>
      </c>
      <c r="AO611" s="176" t="e">
        <f t="shared" si="578"/>
        <v>#DIV/0!</v>
      </c>
      <c r="AP611" s="176" t="e">
        <f t="shared" si="579"/>
        <v>#DIV/0!</v>
      </c>
      <c r="AQ611" s="176" t="e">
        <f t="shared" si="580"/>
        <v>#DIV/0!</v>
      </c>
      <c r="AR611" s="176" t="e">
        <f t="shared" si="581"/>
        <v>#DIV/0!</v>
      </c>
      <c r="AS611" s="176" t="e">
        <f t="shared" si="582"/>
        <v>#DIV/0!</v>
      </c>
      <c r="AT611" s="176" t="e">
        <f t="shared" si="583"/>
        <v>#DIV/0!</v>
      </c>
      <c r="AU611" s="176" t="e">
        <f t="shared" si="584"/>
        <v>#DIV/0!</v>
      </c>
      <c r="AV611" s="176" t="e">
        <f t="shared" si="585"/>
        <v>#DIV/0!</v>
      </c>
    </row>
    <row r="612" spans="1:48" x14ac:dyDescent="0.25">
      <c r="A612" s="185">
        <v>306141</v>
      </c>
      <c r="B612" s="182" t="s">
        <v>1165</v>
      </c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>
        <f t="shared" si="590"/>
        <v>0</v>
      </c>
      <c r="P612" s="184"/>
      <c r="R612" s="185"/>
      <c r="S612" s="182"/>
      <c r="T612" s="184"/>
      <c r="U612" s="184">
        <v>0</v>
      </c>
      <c r="V612" s="184">
        <v>0</v>
      </c>
      <c r="W612" s="261">
        <v>0</v>
      </c>
      <c r="X612" s="184"/>
      <c r="Y612" s="184"/>
      <c r="Z612" s="184"/>
      <c r="AA612" s="184"/>
      <c r="AB612" s="184"/>
      <c r="AC612" s="184"/>
      <c r="AD612" s="184"/>
      <c r="AE612" s="184"/>
      <c r="AF612" s="261">
        <f t="shared" si="591"/>
        <v>0</v>
      </c>
      <c r="AG612" s="184">
        <f t="shared" si="592"/>
        <v>0</v>
      </c>
      <c r="AI612" s="176" t="e">
        <f t="shared" si="572"/>
        <v>#DIV/0!</v>
      </c>
      <c r="AJ612" s="176" t="e">
        <f t="shared" si="573"/>
        <v>#DIV/0!</v>
      </c>
      <c r="AK612" s="176" t="e">
        <f t="shared" si="574"/>
        <v>#DIV/0!</v>
      </c>
      <c r="AL612" s="176" t="e">
        <f t="shared" si="575"/>
        <v>#DIV/0!</v>
      </c>
      <c r="AM612" s="176" t="e">
        <f t="shared" si="576"/>
        <v>#DIV/0!</v>
      </c>
      <c r="AN612" s="176" t="e">
        <f t="shared" si="577"/>
        <v>#DIV/0!</v>
      </c>
      <c r="AO612" s="176" t="e">
        <f t="shared" si="578"/>
        <v>#DIV/0!</v>
      </c>
      <c r="AP612" s="176" t="e">
        <f t="shared" si="579"/>
        <v>#DIV/0!</v>
      </c>
      <c r="AQ612" s="176" t="e">
        <f t="shared" si="580"/>
        <v>#DIV/0!</v>
      </c>
      <c r="AR612" s="176" t="e">
        <f t="shared" si="581"/>
        <v>#DIV/0!</v>
      </c>
      <c r="AS612" s="176" t="e">
        <f t="shared" si="582"/>
        <v>#DIV/0!</v>
      </c>
      <c r="AT612" s="176" t="e">
        <f t="shared" si="583"/>
        <v>#DIV/0!</v>
      </c>
      <c r="AU612" s="176" t="e">
        <f t="shared" si="584"/>
        <v>#DIV/0!</v>
      </c>
      <c r="AV612" s="176" t="e">
        <f t="shared" si="585"/>
        <v>#DIV/0!</v>
      </c>
    </row>
    <row r="613" spans="1:48" x14ac:dyDescent="0.25">
      <c r="A613" s="185">
        <v>306142</v>
      </c>
      <c r="B613" s="182" t="s">
        <v>1166</v>
      </c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>
        <f t="shared" si="590"/>
        <v>0</v>
      </c>
      <c r="P613" s="184"/>
      <c r="R613" s="185"/>
      <c r="S613" s="182"/>
      <c r="T613" s="184"/>
      <c r="U613" s="184">
        <v>0</v>
      </c>
      <c r="V613" s="184">
        <v>0</v>
      </c>
      <c r="W613" s="261">
        <v>0</v>
      </c>
      <c r="X613" s="184"/>
      <c r="Y613" s="184"/>
      <c r="Z613" s="184"/>
      <c r="AA613" s="184"/>
      <c r="AB613" s="184"/>
      <c r="AC613" s="184"/>
      <c r="AD613" s="184"/>
      <c r="AE613" s="184"/>
      <c r="AF613" s="261">
        <f t="shared" si="591"/>
        <v>0</v>
      </c>
      <c r="AG613" s="184">
        <f t="shared" si="592"/>
        <v>0</v>
      </c>
      <c r="AI613" s="176" t="e">
        <f t="shared" si="572"/>
        <v>#DIV/0!</v>
      </c>
      <c r="AJ613" s="176" t="e">
        <f t="shared" si="573"/>
        <v>#DIV/0!</v>
      </c>
      <c r="AK613" s="176" t="e">
        <f t="shared" si="574"/>
        <v>#DIV/0!</v>
      </c>
      <c r="AL613" s="176" t="e">
        <f t="shared" si="575"/>
        <v>#DIV/0!</v>
      </c>
      <c r="AM613" s="176" t="e">
        <f t="shared" si="576"/>
        <v>#DIV/0!</v>
      </c>
      <c r="AN613" s="176" t="e">
        <f t="shared" si="577"/>
        <v>#DIV/0!</v>
      </c>
      <c r="AO613" s="176" t="e">
        <f t="shared" si="578"/>
        <v>#DIV/0!</v>
      </c>
      <c r="AP613" s="176" t="e">
        <f t="shared" si="579"/>
        <v>#DIV/0!</v>
      </c>
      <c r="AQ613" s="176" t="e">
        <f t="shared" si="580"/>
        <v>#DIV/0!</v>
      </c>
      <c r="AR613" s="176" t="e">
        <f t="shared" si="581"/>
        <v>#DIV/0!</v>
      </c>
      <c r="AS613" s="176" t="e">
        <f t="shared" si="582"/>
        <v>#DIV/0!</v>
      </c>
      <c r="AT613" s="176" t="e">
        <f t="shared" si="583"/>
        <v>#DIV/0!</v>
      </c>
      <c r="AU613" s="176" t="e">
        <f t="shared" si="584"/>
        <v>#DIV/0!</v>
      </c>
      <c r="AV613" s="176" t="e">
        <f t="shared" si="585"/>
        <v>#DIV/0!</v>
      </c>
    </row>
    <row r="614" spans="1:48" x14ac:dyDescent="0.25">
      <c r="A614" s="185">
        <v>306143</v>
      </c>
      <c r="B614" s="182" t="s">
        <v>1167</v>
      </c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>
        <f t="shared" si="590"/>
        <v>0</v>
      </c>
      <c r="P614" s="184"/>
      <c r="R614" s="185"/>
      <c r="S614" s="182"/>
      <c r="T614" s="184"/>
      <c r="U614" s="184">
        <v>0</v>
      </c>
      <c r="V614" s="184">
        <v>0</v>
      </c>
      <c r="W614" s="261">
        <v>0</v>
      </c>
      <c r="X614" s="184"/>
      <c r="Y614" s="184"/>
      <c r="Z614" s="184"/>
      <c r="AA614" s="184"/>
      <c r="AB614" s="184"/>
      <c r="AC614" s="184"/>
      <c r="AD614" s="184"/>
      <c r="AE614" s="184"/>
      <c r="AF614" s="261">
        <f t="shared" si="591"/>
        <v>0</v>
      </c>
      <c r="AG614" s="184">
        <f t="shared" si="592"/>
        <v>0</v>
      </c>
      <c r="AI614" s="176" t="e">
        <f t="shared" si="572"/>
        <v>#DIV/0!</v>
      </c>
      <c r="AJ614" s="176" t="e">
        <f t="shared" si="573"/>
        <v>#DIV/0!</v>
      </c>
      <c r="AK614" s="176" t="e">
        <f t="shared" si="574"/>
        <v>#DIV/0!</v>
      </c>
      <c r="AL614" s="176" t="e">
        <f t="shared" si="575"/>
        <v>#DIV/0!</v>
      </c>
      <c r="AM614" s="176" t="e">
        <f t="shared" si="576"/>
        <v>#DIV/0!</v>
      </c>
      <c r="AN614" s="176" t="e">
        <f t="shared" si="577"/>
        <v>#DIV/0!</v>
      </c>
      <c r="AO614" s="176" t="e">
        <f t="shared" si="578"/>
        <v>#DIV/0!</v>
      </c>
      <c r="AP614" s="176" t="e">
        <f t="shared" si="579"/>
        <v>#DIV/0!</v>
      </c>
      <c r="AQ614" s="176" t="e">
        <f t="shared" si="580"/>
        <v>#DIV/0!</v>
      </c>
      <c r="AR614" s="176" t="e">
        <f t="shared" si="581"/>
        <v>#DIV/0!</v>
      </c>
      <c r="AS614" s="176" t="e">
        <f t="shared" si="582"/>
        <v>#DIV/0!</v>
      </c>
      <c r="AT614" s="176" t="e">
        <f t="shared" si="583"/>
        <v>#DIV/0!</v>
      </c>
      <c r="AU614" s="176" t="e">
        <f t="shared" si="584"/>
        <v>#DIV/0!</v>
      </c>
      <c r="AV614" s="176" t="e">
        <f t="shared" si="585"/>
        <v>#DIV/0!</v>
      </c>
    </row>
    <row r="615" spans="1:48" x14ac:dyDescent="0.25">
      <c r="A615" s="185">
        <v>306144</v>
      </c>
      <c r="B615" s="182" t="s">
        <v>1168</v>
      </c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>
        <f t="shared" si="590"/>
        <v>0</v>
      </c>
      <c r="P615" s="184"/>
      <c r="R615" s="185"/>
      <c r="S615" s="182"/>
      <c r="T615" s="184"/>
      <c r="U615" s="184">
        <v>0</v>
      </c>
      <c r="V615" s="184">
        <v>0</v>
      </c>
      <c r="W615" s="261">
        <v>0</v>
      </c>
      <c r="X615" s="184"/>
      <c r="Y615" s="184"/>
      <c r="Z615" s="184"/>
      <c r="AA615" s="184"/>
      <c r="AB615" s="184"/>
      <c r="AC615" s="184"/>
      <c r="AD615" s="184"/>
      <c r="AE615" s="184"/>
      <c r="AF615" s="261">
        <f t="shared" si="591"/>
        <v>0</v>
      </c>
      <c r="AG615" s="184">
        <f t="shared" si="592"/>
        <v>0</v>
      </c>
      <c r="AI615" s="176" t="e">
        <f t="shared" si="572"/>
        <v>#DIV/0!</v>
      </c>
      <c r="AJ615" s="176" t="e">
        <f t="shared" si="573"/>
        <v>#DIV/0!</v>
      </c>
      <c r="AK615" s="176" t="e">
        <f t="shared" si="574"/>
        <v>#DIV/0!</v>
      </c>
      <c r="AL615" s="176" t="e">
        <f t="shared" si="575"/>
        <v>#DIV/0!</v>
      </c>
      <c r="AM615" s="176" t="e">
        <f t="shared" si="576"/>
        <v>#DIV/0!</v>
      </c>
      <c r="AN615" s="176" t="e">
        <f t="shared" si="577"/>
        <v>#DIV/0!</v>
      </c>
      <c r="AO615" s="176" t="e">
        <f t="shared" si="578"/>
        <v>#DIV/0!</v>
      </c>
      <c r="AP615" s="176" t="e">
        <f t="shared" si="579"/>
        <v>#DIV/0!</v>
      </c>
      <c r="AQ615" s="176" t="e">
        <f t="shared" si="580"/>
        <v>#DIV/0!</v>
      </c>
      <c r="AR615" s="176" t="e">
        <f t="shared" si="581"/>
        <v>#DIV/0!</v>
      </c>
      <c r="AS615" s="176" t="e">
        <f t="shared" si="582"/>
        <v>#DIV/0!</v>
      </c>
      <c r="AT615" s="176" t="e">
        <f t="shared" si="583"/>
        <v>#DIV/0!</v>
      </c>
      <c r="AU615" s="176" t="e">
        <f t="shared" si="584"/>
        <v>#DIV/0!</v>
      </c>
      <c r="AV615" s="176" t="e">
        <f t="shared" si="585"/>
        <v>#DIV/0!</v>
      </c>
    </row>
  </sheetData>
  <autoFilter ref="A4:P580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11" t="s">
        <v>1</v>
      </c>
      <c r="B1" s="212" t="s">
        <v>2</v>
      </c>
      <c r="C1" s="212" t="s">
        <v>3</v>
      </c>
      <c r="D1" s="212" t="s">
        <v>4</v>
      </c>
      <c r="E1" s="212" t="s">
        <v>6</v>
      </c>
      <c r="F1" s="212" t="s">
        <v>1182</v>
      </c>
      <c r="G1" s="212" t="s">
        <v>717</v>
      </c>
      <c r="H1" s="212" t="s">
        <v>718</v>
      </c>
      <c r="I1" s="212" t="s">
        <v>719</v>
      </c>
      <c r="J1" s="212" t="s">
        <v>720</v>
      </c>
      <c r="K1" s="212" t="s">
        <v>721</v>
      </c>
      <c r="L1" s="212" t="s">
        <v>1127</v>
      </c>
      <c r="M1" s="212" t="s">
        <v>1183</v>
      </c>
      <c r="N1" s="212" t="s">
        <v>724</v>
      </c>
      <c r="O1" s="212" t="s">
        <v>1184</v>
      </c>
      <c r="P1" s="212" t="s">
        <v>726</v>
      </c>
      <c r="Q1" s="212" t="s">
        <v>1185</v>
      </c>
      <c r="R1" s="243" t="s">
        <v>1229</v>
      </c>
      <c r="S1" s="243" t="s">
        <v>1228</v>
      </c>
    </row>
    <row r="2" spans="1:19" x14ac:dyDescent="0.25">
      <c r="A2" s="214" t="s">
        <v>1186</v>
      </c>
      <c r="B2" s="215">
        <v>145638571781</v>
      </c>
      <c r="C2" s="215">
        <v>1669032905</v>
      </c>
      <c r="D2" s="215">
        <v>1669032905</v>
      </c>
      <c r="E2" s="215">
        <v>17943484288.099998</v>
      </c>
      <c r="F2" s="252">
        <v>163582056069.10001</v>
      </c>
      <c r="G2" s="215">
        <v>9507714512.9300003</v>
      </c>
      <c r="H2" s="215">
        <v>44304969904.089996</v>
      </c>
      <c r="I2" s="215">
        <v>119277086165.01001</v>
      </c>
      <c r="J2" s="215">
        <v>12831921748.66</v>
      </c>
      <c r="K2" s="215">
        <v>34195340748.810001</v>
      </c>
      <c r="L2" s="215">
        <v>10109629155.279995</v>
      </c>
      <c r="M2" s="215">
        <v>14107346565.130001</v>
      </c>
      <c r="N2" s="215">
        <v>57524088280.590004</v>
      </c>
      <c r="O2" s="215">
        <v>13219118376.500008</v>
      </c>
      <c r="P2" s="215">
        <v>106057967788.51001</v>
      </c>
      <c r="Q2" s="215">
        <v>34195340748.810001</v>
      </c>
      <c r="R2" s="244">
        <f>+N2/F2</f>
        <v>0.35165280143129385</v>
      </c>
      <c r="S2" s="248">
        <f>+H2/F2</f>
        <v>0.27084248094653351</v>
      </c>
    </row>
    <row r="3" spans="1:19" x14ac:dyDescent="0.25">
      <c r="A3" s="214" t="s">
        <v>1187</v>
      </c>
      <c r="B3" s="216">
        <v>131006848881</v>
      </c>
      <c r="C3" s="216">
        <v>1669032905</v>
      </c>
      <c r="D3" s="216">
        <v>1669032905</v>
      </c>
      <c r="E3" s="216">
        <v>2700000000</v>
      </c>
      <c r="F3" s="253">
        <v>133706848881</v>
      </c>
      <c r="G3" s="216">
        <v>7268902869.8199997</v>
      </c>
      <c r="H3" s="216">
        <v>39087719275.18</v>
      </c>
      <c r="I3" s="216">
        <v>94619129605.820007</v>
      </c>
      <c r="J3" s="216">
        <v>11486581760.290001</v>
      </c>
      <c r="K3" s="216">
        <v>31711934527.240002</v>
      </c>
      <c r="L3" s="216">
        <v>7375784747.9399986</v>
      </c>
      <c r="M3" s="216">
        <v>9164360712.5799999</v>
      </c>
      <c r="N3" s="216">
        <v>46923474671.050003</v>
      </c>
      <c r="O3" s="216">
        <v>7835755395.8700027</v>
      </c>
      <c r="P3" s="216">
        <v>86783374209.949997</v>
      </c>
      <c r="Q3" s="216">
        <v>31711934527.240002</v>
      </c>
      <c r="R3" s="244">
        <f>+N3/F3</f>
        <v>0.35094294019906352</v>
      </c>
      <c r="S3" s="248">
        <f t="shared" ref="S3:S48" si="0">+H3/F3</f>
        <v>0.29233894600244698</v>
      </c>
    </row>
    <row r="4" spans="1:19" x14ac:dyDescent="0.25">
      <c r="A4" s="218" t="s">
        <v>10</v>
      </c>
      <c r="B4" s="219">
        <v>119433039381</v>
      </c>
      <c r="C4" s="219">
        <v>0</v>
      </c>
      <c r="D4" s="219">
        <v>794032905</v>
      </c>
      <c r="E4" s="219">
        <v>900000000</v>
      </c>
      <c r="F4" s="254">
        <v>119539006476</v>
      </c>
      <c r="G4" s="219">
        <v>6171580312</v>
      </c>
      <c r="H4" s="219">
        <v>34028039168</v>
      </c>
      <c r="I4" s="219">
        <v>85510967308</v>
      </c>
      <c r="J4" s="219">
        <v>10572106705</v>
      </c>
      <c r="K4" s="219">
        <v>30162692302</v>
      </c>
      <c r="L4" s="219">
        <v>3865346866</v>
      </c>
      <c r="M4" s="219">
        <v>7480519827</v>
      </c>
      <c r="N4" s="219">
        <v>37922160528</v>
      </c>
      <c r="O4" s="219">
        <v>3894121360</v>
      </c>
      <c r="P4" s="219">
        <v>81616845948</v>
      </c>
      <c r="Q4" s="219">
        <v>30162692302</v>
      </c>
      <c r="R4" s="245">
        <f t="shared" ref="R4:R48" si="1">+N4/F4</f>
        <v>0.31723670495466</v>
      </c>
      <c r="S4" s="249">
        <f t="shared" si="0"/>
        <v>0.28466054864553231</v>
      </c>
    </row>
    <row r="5" spans="1:19" hidden="1" x14ac:dyDescent="0.25">
      <c r="A5" s="221" t="s">
        <v>12</v>
      </c>
      <c r="B5" s="222">
        <v>86037737402</v>
      </c>
      <c r="C5" s="222">
        <v>0</v>
      </c>
      <c r="D5" s="222">
        <v>794032905</v>
      </c>
      <c r="E5" s="222">
        <v>0</v>
      </c>
      <c r="F5" s="255">
        <v>85243704497</v>
      </c>
      <c r="G5" s="222">
        <v>5361076758</v>
      </c>
      <c r="H5" s="222">
        <v>21017371668</v>
      </c>
      <c r="I5" s="222">
        <v>64226332829</v>
      </c>
      <c r="J5" s="222">
        <v>5359029616</v>
      </c>
      <c r="K5" s="222">
        <v>21015324526</v>
      </c>
      <c r="L5" s="222">
        <v>2047142</v>
      </c>
      <c r="M5" s="222">
        <v>5373662230</v>
      </c>
      <c r="N5" s="222">
        <v>21044115409</v>
      </c>
      <c r="O5" s="222">
        <v>26743741</v>
      </c>
      <c r="P5" s="222">
        <v>64199589088</v>
      </c>
      <c r="Q5" s="222">
        <v>21015324526</v>
      </c>
      <c r="R5" s="246">
        <f t="shared" si="1"/>
        <v>0.24687002439858313</v>
      </c>
      <c r="S5" s="250">
        <f t="shared" si="0"/>
        <v>0.24655629165834375</v>
      </c>
    </row>
    <row r="6" spans="1:19" hidden="1" x14ac:dyDescent="0.25">
      <c r="A6" s="221" t="s">
        <v>1188</v>
      </c>
      <c r="B6" s="222">
        <v>33395301979</v>
      </c>
      <c r="C6" s="222">
        <v>0</v>
      </c>
      <c r="D6" s="222">
        <v>0</v>
      </c>
      <c r="E6" s="222">
        <v>900000000</v>
      </c>
      <c r="F6" s="255">
        <v>34295301979</v>
      </c>
      <c r="G6" s="222">
        <v>810503554</v>
      </c>
      <c r="H6" s="222">
        <v>13010667500</v>
      </c>
      <c r="I6" s="222">
        <v>21284634479</v>
      </c>
      <c r="J6" s="222">
        <v>5213077089</v>
      </c>
      <c r="K6" s="222">
        <v>9147367776</v>
      </c>
      <c r="L6" s="222">
        <v>3863299724</v>
      </c>
      <c r="M6" s="222">
        <v>2106857597</v>
      </c>
      <c r="N6" s="222">
        <v>16878045119</v>
      </c>
      <c r="O6" s="222">
        <v>3867377619</v>
      </c>
      <c r="P6" s="222">
        <v>17417256860</v>
      </c>
      <c r="Q6" s="222">
        <v>9147367776</v>
      </c>
      <c r="R6" s="246">
        <f t="shared" si="1"/>
        <v>0.49213869378770631</v>
      </c>
      <c r="S6" s="250">
        <f t="shared" si="0"/>
        <v>0.37937171417725979</v>
      </c>
    </row>
    <row r="7" spans="1:19" x14ac:dyDescent="0.25">
      <c r="A7" s="218" t="s">
        <v>1189</v>
      </c>
      <c r="B7" s="219">
        <v>10833689226</v>
      </c>
      <c r="C7" s="219">
        <v>1669032905</v>
      </c>
      <c r="D7" s="219">
        <v>875000000</v>
      </c>
      <c r="E7" s="219">
        <v>1800000000</v>
      </c>
      <c r="F7" s="254">
        <v>13427722131</v>
      </c>
      <c r="G7" s="219">
        <v>783619193.82000005</v>
      </c>
      <c r="H7" s="219">
        <v>4635546406.1800003</v>
      </c>
      <c r="I7" s="219">
        <v>8792175724.8199997</v>
      </c>
      <c r="J7" s="219">
        <v>601675691.29000008</v>
      </c>
      <c r="K7" s="219">
        <v>1126718315.24</v>
      </c>
      <c r="L7" s="219">
        <v>3508828090.9400005</v>
      </c>
      <c r="M7" s="219">
        <v>1358137521.5799999</v>
      </c>
      <c r="N7" s="219">
        <v>8529930442.0500002</v>
      </c>
      <c r="O7" s="219">
        <v>3894384035.8699999</v>
      </c>
      <c r="P7" s="219">
        <v>4897791688.9499998</v>
      </c>
      <c r="Q7" s="219">
        <v>1126718315.24</v>
      </c>
      <c r="R7" s="245">
        <f t="shared" si="1"/>
        <v>0.63524776271303074</v>
      </c>
      <c r="S7" s="249">
        <f t="shared" si="0"/>
        <v>0.3452220980562381</v>
      </c>
    </row>
    <row r="8" spans="1:19" hidden="1" x14ac:dyDescent="0.25">
      <c r="A8" s="221" t="s">
        <v>1190</v>
      </c>
      <c r="B8" s="222">
        <v>2371987400</v>
      </c>
      <c r="C8" s="222">
        <v>6000000</v>
      </c>
      <c r="D8" s="222">
        <v>790000000</v>
      </c>
      <c r="E8" s="222">
        <v>1800000000</v>
      </c>
      <c r="F8" s="255">
        <v>3387987400</v>
      </c>
      <c r="G8" s="222">
        <v>53871638.530000001</v>
      </c>
      <c r="H8" s="222">
        <v>524776206.52999997</v>
      </c>
      <c r="I8" s="222">
        <v>2863211193.4700003</v>
      </c>
      <c r="J8" s="222">
        <v>91952967</v>
      </c>
      <c r="K8" s="222">
        <v>219750979</v>
      </c>
      <c r="L8" s="222">
        <v>305025227.52999997</v>
      </c>
      <c r="M8" s="222">
        <v>97453716.530000001</v>
      </c>
      <c r="N8" s="222">
        <v>1378927328</v>
      </c>
      <c r="O8" s="222">
        <v>854151121.47000003</v>
      </c>
      <c r="P8" s="222">
        <v>2009060072</v>
      </c>
      <c r="Q8" s="222">
        <v>219750979</v>
      </c>
      <c r="R8" s="246">
        <f t="shared" si="1"/>
        <v>0.40700485721995305</v>
      </c>
      <c r="S8" s="250">
        <f t="shared" si="0"/>
        <v>0.15489319899182624</v>
      </c>
    </row>
    <row r="9" spans="1:19" hidden="1" x14ac:dyDescent="0.25">
      <c r="A9" s="221" t="s">
        <v>1191</v>
      </c>
      <c r="B9" s="222">
        <v>1363223292</v>
      </c>
      <c r="C9" s="222">
        <v>0</v>
      </c>
      <c r="D9" s="222">
        <v>0</v>
      </c>
      <c r="E9" s="222">
        <v>0</v>
      </c>
      <c r="F9" s="255">
        <v>1363223292</v>
      </c>
      <c r="G9" s="222">
        <v>126997170.45</v>
      </c>
      <c r="H9" s="222">
        <v>418308749.44999999</v>
      </c>
      <c r="I9" s="222">
        <v>944914542.54999995</v>
      </c>
      <c r="J9" s="222">
        <v>67975633.450000003</v>
      </c>
      <c r="K9" s="222">
        <v>258972200.44999999</v>
      </c>
      <c r="L9" s="222">
        <v>159336549</v>
      </c>
      <c r="M9" s="222">
        <v>126669720.45</v>
      </c>
      <c r="N9" s="222">
        <v>447816039.44999999</v>
      </c>
      <c r="O9" s="222">
        <v>29507290</v>
      </c>
      <c r="P9" s="222">
        <v>915407252.54999995</v>
      </c>
      <c r="Q9" s="222">
        <v>258972200.44999999</v>
      </c>
      <c r="R9" s="246">
        <f t="shared" si="1"/>
        <v>0.32849793726235715</v>
      </c>
      <c r="S9" s="250">
        <f t="shared" si="0"/>
        <v>0.30685270117142333</v>
      </c>
    </row>
    <row r="10" spans="1:19" hidden="1" x14ac:dyDescent="0.25">
      <c r="A10" s="221" t="s">
        <v>1192</v>
      </c>
      <c r="B10" s="222">
        <v>193925355</v>
      </c>
      <c r="C10" s="222">
        <v>25000000</v>
      </c>
      <c r="D10" s="222">
        <v>0</v>
      </c>
      <c r="E10" s="222">
        <v>0</v>
      </c>
      <c r="F10" s="255">
        <v>218925355</v>
      </c>
      <c r="G10" s="222">
        <v>0</v>
      </c>
      <c r="H10" s="222">
        <v>132327471</v>
      </c>
      <c r="I10" s="222">
        <v>86597884</v>
      </c>
      <c r="J10" s="222">
        <v>40079324.240000002</v>
      </c>
      <c r="K10" s="222">
        <v>40079324.240000002</v>
      </c>
      <c r="L10" s="222">
        <v>92248146.75999999</v>
      </c>
      <c r="M10" s="222">
        <v>60000000</v>
      </c>
      <c r="N10" s="222">
        <v>208100000</v>
      </c>
      <c r="O10" s="222">
        <v>75772529</v>
      </c>
      <c r="P10" s="222">
        <v>10825355</v>
      </c>
      <c r="Q10" s="222">
        <v>40079324.240000002</v>
      </c>
      <c r="R10" s="246">
        <f t="shared" si="1"/>
        <v>0.95055230126268375</v>
      </c>
      <c r="S10" s="250">
        <f t="shared" si="0"/>
        <v>0.60444104795445008</v>
      </c>
    </row>
    <row r="11" spans="1:19" hidden="1" x14ac:dyDescent="0.25">
      <c r="A11" s="221" t="s">
        <v>1193</v>
      </c>
      <c r="B11" s="222">
        <v>193318652</v>
      </c>
      <c r="C11" s="222">
        <v>0</v>
      </c>
      <c r="D11" s="222">
        <v>0</v>
      </c>
      <c r="E11" s="222">
        <v>0</v>
      </c>
      <c r="F11" s="255">
        <v>193318652</v>
      </c>
      <c r="G11" s="222">
        <v>67221402</v>
      </c>
      <c r="H11" s="222">
        <v>102726751</v>
      </c>
      <c r="I11" s="222">
        <v>90591901</v>
      </c>
      <c r="J11" s="222">
        <v>41340347</v>
      </c>
      <c r="K11" s="222">
        <v>83033838</v>
      </c>
      <c r="L11" s="222">
        <v>19692913</v>
      </c>
      <c r="M11" s="222">
        <v>51148683</v>
      </c>
      <c r="N11" s="222">
        <v>112896764</v>
      </c>
      <c r="O11" s="222">
        <v>10170013</v>
      </c>
      <c r="P11" s="222">
        <v>80421888</v>
      </c>
      <c r="Q11" s="222">
        <v>83033838</v>
      </c>
      <c r="R11" s="246">
        <f t="shared" si="1"/>
        <v>0.58399312654011259</v>
      </c>
      <c r="S11" s="250">
        <f t="shared" si="0"/>
        <v>0.53138561611737289</v>
      </c>
    </row>
    <row r="12" spans="1:19" hidden="1" x14ac:dyDescent="0.25">
      <c r="A12" s="221" t="s">
        <v>1194</v>
      </c>
      <c r="B12" s="222">
        <v>264949395</v>
      </c>
      <c r="C12" s="222">
        <v>40000000</v>
      </c>
      <c r="D12" s="222">
        <v>0</v>
      </c>
      <c r="E12" s="222">
        <v>0</v>
      </c>
      <c r="F12" s="255">
        <v>304949395</v>
      </c>
      <c r="G12" s="222">
        <v>25300000</v>
      </c>
      <c r="H12" s="222">
        <v>93023900</v>
      </c>
      <c r="I12" s="222">
        <v>211925495</v>
      </c>
      <c r="J12" s="222">
        <v>41977210</v>
      </c>
      <c r="K12" s="222">
        <v>52973010</v>
      </c>
      <c r="L12" s="222">
        <v>40050890</v>
      </c>
      <c r="M12" s="222">
        <v>22300000</v>
      </c>
      <c r="N12" s="222">
        <v>93195800</v>
      </c>
      <c r="O12" s="222">
        <v>171900</v>
      </c>
      <c r="P12" s="222">
        <v>211753595</v>
      </c>
      <c r="Q12" s="222">
        <v>52973010</v>
      </c>
      <c r="R12" s="246">
        <f t="shared" si="1"/>
        <v>0.30561070632719239</v>
      </c>
      <c r="S12" s="250">
        <f t="shared" si="0"/>
        <v>0.30504700624180614</v>
      </c>
    </row>
    <row r="13" spans="1:19" hidden="1" x14ac:dyDescent="0.25">
      <c r="A13" s="221" t="s">
        <v>1195</v>
      </c>
      <c r="B13" s="222">
        <v>2884764206</v>
      </c>
      <c r="C13" s="222">
        <v>761500000</v>
      </c>
      <c r="D13" s="222">
        <v>0</v>
      </c>
      <c r="E13" s="222">
        <v>0</v>
      </c>
      <c r="F13" s="255">
        <v>3646264206</v>
      </c>
      <c r="G13" s="222">
        <v>131585500</v>
      </c>
      <c r="H13" s="222">
        <v>2291419168.0500002</v>
      </c>
      <c r="I13" s="222">
        <v>1354845037.9499998</v>
      </c>
      <c r="J13" s="222">
        <v>290456594</v>
      </c>
      <c r="K13" s="222">
        <v>400644837</v>
      </c>
      <c r="L13" s="222">
        <v>1890774331.0500002</v>
      </c>
      <c r="M13" s="222">
        <v>233995500</v>
      </c>
      <c r="N13" s="222">
        <v>3264620548</v>
      </c>
      <c r="O13" s="222">
        <v>973201379.94999981</v>
      </c>
      <c r="P13" s="222">
        <v>381643658</v>
      </c>
      <c r="Q13" s="222">
        <v>400644837</v>
      </c>
      <c r="R13" s="246">
        <f t="shared" si="1"/>
        <v>0.89533296644494442</v>
      </c>
      <c r="S13" s="250">
        <f t="shared" si="0"/>
        <v>0.62842927407164417</v>
      </c>
    </row>
    <row r="14" spans="1:19" hidden="1" x14ac:dyDescent="0.25">
      <c r="A14" s="221" t="s">
        <v>1196</v>
      </c>
      <c r="B14" s="222">
        <v>1261534659</v>
      </c>
      <c r="C14" s="222">
        <v>60000000</v>
      </c>
      <c r="D14" s="222">
        <v>0</v>
      </c>
      <c r="E14" s="222">
        <v>0</v>
      </c>
      <c r="F14" s="255">
        <v>1321534659</v>
      </c>
      <c r="G14" s="222">
        <v>230045431</v>
      </c>
      <c r="H14" s="222">
        <v>231860920</v>
      </c>
      <c r="I14" s="222">
        <v>1089673739</v>
      </c>
      <c r="J14" s="222">
        <v>0</v>
      </c>
      <c r="K14" s="222">
        <v>1815489</v>
      </c>
      <c r="L14" s="222">
        <v>230045431</v>
      </c>
      <c r="M14" s="222">
        <v>230045431</v>
      </c>
      <c r="N14" s="222">
        <v>237045431</v>
      </c>
      <c r="O14" s="222">
        <v>5184511</v>
      </c>
      <c r="P14" s="222">
        <v>1084489228</v>
      </c>
      <c r="Q14" s="222">
        <v>1815489</v>
      </c>
      <c r="R14" s="246">
        <f t="shared" si="1"/>
        <v>0.17937133119109516</v>
      </c>
      <c r="S14" s="250">
        <f t="shared" si="0"/>
        <v>0.17544823241748969</v>
      </c>
    </row>
    <row r="15" spans="1:19" hidden="1" x14ac:dyDescent="0.25">
      <c r="A15" s="221" t="s">
        <v>1197</v>
      </c>
      <c r="B15" s="222">
        <v>706629000</v>
      </c>
      <c r="C15" s="222">
        <v>0</v>
      </c>
      <c r="D15" s="222">
        <v>0</v>
      </c>
      <c r="E15" s="222">
        <v>0</v>
      </c>
      <c r="F15" s="255">
        <v>706629000</v>
      </c>
      <c r="G15" s="222">
        <v>54321710</v>
      </c>
      <c r="H15" s="222">
        <v>54321710</v>
      </c>
      <c r="I15" s="222">
        <v>652307290</v>
      </c>
      <c r="J15" s="222">
        <v>0</v>
      </c>
      <c r="K15" s="222">
        <v>0</v>
      </c>
      <c r="L15" s="222">
        <v>54321710</v>
      </c>
      <c r="M15" s="222">
        <v>54321710</v>
      </c>
      <c r="N15" s="222">
        <v>694299153</v>
      </c>
      <c r="O15" s="222">
        <v>639977443</v>
      </c>
      <c r="P15" s="222">
        <v>12329847</v>
      </c>
      <c r="Q15" s="222">
        <v>0</v>
      </c>
      <c r="R15" s="246">
        <f t="shared" si="1"/>
        <v>0.98255117324649854</v>
      </c>
      <c r="S15" s="250">
        <f t="shared" si="0"/>
        <v>7.6874441892421624E-2</v>
      </c>
    </row>
    <row r="16" spans="1:19" hidden="1" x14ac:dyDescent="0.25">
      <c r="A16" s="221" t="s">
        <v>1198</v>
      </c>
      <c r="B16" s="222">
        <v>1070341041</v>
      </c>
      <c r="C16" s="222">
        <v>678532905</v>
      </c>
      <c r="D16" s="222">
        <v>0</v>
      </c>
      <c r="E16" s="222">
        <v>0</v>
      </c>
      <c r="F16" s="255">
        <v>1748873946</v>
      </c>
      <c r="G16" s="222">
        <v>60000000</v>
      </c>
      <c r="H16" s="222">
        <v>597932849</v>
      </c>
      <c r="I16" s="222">
        <v>1150941097</v>
      </c>
      <c r="J16" s="222">
        <v>17072151</v>
      </c>
      <c r="K16" s="222">
        <v>18572151</v>
      </c>
      <c r="L16" s="222">
        <v>579360698</v>
      </c>
      <c r="M16" s="222">
        <v>481000000</v>
      </c>
      <c r="N16" s="222">
        <v>1741032905</v>
      </c>
      <c r="O16" s="222">
        <v>1143100056</v>
      </c>
      <c r="P16" s="222">
        <v>7841041</v>
      </c>
      <c r="Q16" s="222">
        <v>18572151</v>
      </c>
      <c r="R16" s="246">
        <f t="shared" si="1"/>
        <v>0.99551652020551062</v>
      </c>
      <c r="S16" s="250">
        <f t="shared" si="0"/>
        <v>0.34189590986107582</v>
      </c>
    </row>
    <row r="17" spans="1:19" hidden="1" x14ac:dyDescent="0.25">
      <c r="A17" s="221" t="s">
        <v>1199</v>
      </c>
      <c r="B17" s="222">
        <v>104091432</v>
      </c>
      <c r="C17" s="222">
        <v>16000000</v>
      </c>
      <c r="D17" s="222">
        <v>0</v>
      </c>
      <c r="E17" s="222">
        <v>0</v>
      </c>
      <c r="F17" s="255">
        <v>120091432</v>
      </c>
      <c r="G17" s="222">
        <v>285000</v>
      </c>
      <c r="H17" s="222">
        <v>85505000</v>
      </c>
      <c r="I17" s="222">
        <v>34586432</v>
      </c>
      <c r="J17" s="222">
        <v>0</v>
      </c>
      <c r="K17" s="222">
        <v>9220000</v>
      </c>
      <c r="L17" s="222">
        <v>76285000</v>
      </c>
      <c r="M17" s="222">
        <v>285000</v>
      </c>
      <c r="N17" s="222">
        <v>105505000</v>
      </c>
      <c r="O17" s="222">
        <v>20000000</v>
      </c>
      <c r="P17" s="222">
        <v>14586432</v>
      </c>
      <c r="Q17" s="222">
        <v>9220000</v>
      </c>
      <c r="R17" s="246">
        <f t="shared" si="1"/>
        <v>0.87853894522633391</v>
      </c>
      <c r="S17" s="250">
        <f t="shared" si="0"/>
        <v>0.71199917076515495</v>
      </c>
    </row>
    <row r="18" spans="1:19" hidden="1" x14ac:dyDescent="0.25">
      <c r="A18" s="221" t="s">
        <v>1200</v>
      </c>
      <c r="B18" s="222">
        <v>181312145</v>
      </c>
      <c r="C18" s="222">
        <v>0</v>
      </c>
      <c r="D18" s="222">
        <v>85000000</v>
      </c>
      <c r="E18" s="222">
        <v>0</v>
      </c>
      <c r="F18" s="255">
        <v>96312145</v>
      </c>
      <c r="G18" s="222">
        <v>23900000</v>
      </c>
      <c r="H18" s="222">
        <v>45780000</v>
      </c>
      <c r="I18" s="222">
        <v>50532145</v>
      </c>
      <c r="J18" s="222">
        <v>900000</v>
      </c>
      <c r="K18" s="222">
        <v>9780000</v>
      </c>
      <c r="L18" s="222">
        <v>36000000</v>
      </c>
      <c r="M18" s="222">
        <v>900000</v>
      </c>
      <c r="N18" s="222">
        <v>45780000</v>
      </c>
      <c r="O18" s="222">
        <v>0</v>
      </c>
      <c r="P18" s="222">
        <v>50532145</v>
      </c>
      <c r="Q18" s="222">
        <v>9780000</v>
      </c>
      <c r="R18" s="246">
        <f t="shared" si="1"/>
        <v>0.47532946130521753</v>
      </c>
      <c r="S18" s="250">
        <f t="shared" si="0"/>
        <v>0.47532946130521753</v>
      </c>
    </row>
    <row r="19" spans="1:19" hidden="1" x14ac:dyDescent="0.25">
      <c r="A19" s="221" t="s">
        <v>1201</v>
      </c>
      <c r="B19" s="222">
        <v>163534140</v>
      </c>
      <c r="C19" s="222">
        <v>0</v>
      </c>
      <c r="D19" s="222">
        <v>0</v>
      </c>
      <c r="E19" s="222">
        <v>0</v>
      </c>
      <c r="F19" s="255">
        <v>163534140</v>
      </c>
      <c r="G19" s="222">
        <v>10091341.84</v>
      </c>
      <c r="H19" s="222">
        <v>32933139.149999999</v>
      </c>
      <c r="I19" s="222">
        <v>130601000.84999999</v>
      </c>
      <c r="J19" s="222">
        <v>9921464.5999999996</v>
      </c>
      <c r="K19" s="222">
        <v>31626486.550000001</v>
      </c>
      <c r="L19" s="222">
        <v>1306652.5999999978</v>
      </c>
      <c r="M19" s="222">
        <v>17760.599999999999</v>
      </c>
      <c r="N19" s="222">
        <v>155061473.59999999</v>
      </c>
      <c r="O19" s="222">
        <v>122128334.44999999</v>
      </c>
      <c r="P19" s="222">
        <v>8472666.400000006</v>
      </c>
      <c r="Q19" s="222">
        <v>31626486.550000001</v>
      </c>
      <c r="R19" s="246">
        <f t="shared" si="1"/>
        <v>0.9481902286580649</v>
      </c>
      <c r="S19" s="250">
        <f t="shared" si="0"/>
        <v>0.2013838770913523</v>
      </c>
    </row>
    <row r="20" spans="1:19" hidden="1" x14ac:dyDescent="0.25">
      <c r="A20" s="221" t="s">
        <v>1202</v>
      </c>
      <c r="B20" s="222">
        <v>74078509</v>
      </c>
      <c r="C20" s="222">
        <v>82000000</v>
      </c>
      <c r="D20" s="222">
        <v>0</v>
      </c>
      <c r="E20" s="222">
        <v>0</v>
      </c>
      <c r="F20" s="255">
        <v>156078509</v>
      </c>
      <c r="G20" s="222">
        <v>0</v>
      </c>
      <c r="H20" s="222">
        <v>24630542</v>
      </c>
      <c r="I20" s="222">
        <v>131447967</v>
      </c>
      <c r="J20" s="222">
        <v>0</v>
      </c>
      <c r="K20" s="222">
        <v>250000</v>
      </c>
      <c r="L20" s="222">
        <v>24380542</v>
      </c>
      <c r="M20" s="222">
        <v>0</v>
      </c>
      <c r="N20" s="222">
        <v>45650000</v>
      </c>
      <c r="O20" s="222">
        <v>21019458</v>
      </c>
      <c r="P20" s="222">
        <v>110428509</v>
      </c>
      <c r="Q20" s="222">
        <v>250000</v>
      </c>
      <c r="R20" s="246">
        <f t="shared" si="1"/>
        <v>0.29248101031001006</v>
      </c>
      <c r="S20" s="250">
        <f t="shared" si="0"/>
        <v>0.15780867050696903</v>
      </c>
    </row>
    <row r="21" spans="1:19" x14ac:dyDescent="0.25">
      <c r="A21" s="218" t="s">
        <v>1203</v>
      </c>
      <c r="B21" s="219">
        <v>740120274</v>
      </c>
      <c r="C21" s="219">
        <v>0</v>
      </c>
      <c r="D21" s="219">
        <v>0</v>
      </c>
      <c r="E21" s="219">
        <v>0</v>
      </c>
      <c r="F21" s="254">
        <v>740120274</v>
      </c>
      <c r="G21" s="219">
        <v>313703364</v>
      </c>
      <c r="H21" s="219">
        <v>424133701</v>
      </c>
      <c r="I21" s="219">
        <v>315986573</v>
      </c>
      <c r="J21" s="219">
        <v>312799364</v>
      </c>
      <c r="K21" s="219">
        <v>422523910</v>
      </c>
      <c r="L21" s="219">
        <v>1609791</v>
      </c>
      <c r="M21" s="219">
        <v>325703364</v>
      </c>
      <c r="N21" s="219">
        <v>471383701</v>
      </c>
      <c r="O21" s="219">
        <v>47250000</v>
      </c>
      <c r="P21" s="219">
        <v>268736573</v>
      </c>
      <c r="Q21" s="219">
        <v>422523910</v>
      </c>
      <c r="R21" s="245">
        <f t="shared" si="1"/>
        <v>0.63690148420390391</v>
      </c>
      <c r="S21" s="249">
        <f t="shared" si="0"/>
        <v>0.57306050908152806</v>
      </c>
    </row>
    <row r="22" spans="1:19" s="181" customFormat="1" x14ac:dyDescent="0.25">
      <c r="A22" s="214" t="s">
        <v>530</v>
      </c>
      <c r="B22" s="216">
        <v>14631722900</v>
      </c>
      <c r="C22" s="216">
        <v>0</v>
      </c>
      <c r="D22" s="216">
        <v>0</v>
      </c>
      <c r="E22" s="216">
        <v>15243484288.099998</v>
      </c>
      <c r="F22" s="253">
        <v>29875207188.099998</v>
      </c>
      <c r="G22" s="216">
        <v>2238811643.1099997</v>
      </c>
      <c r="H22" s="216">
        <v>5217250628.9099998</v>
      </c>
      <c r="I22" s="216">
        <v>24657956559.189999</v>
      </c>
      <c r="J22" s="216">
        <v>1345339988.3699999</v>
      </c>
      <c r="K22" s="216">
        <v>2483406221.5699997</v>
      </c>
      <c r="L22" s="216">
        <v>2733844407.3400002</v>
      </c>
      <c r="M22" s="216">
        <v>4942985852.5500002</v>
      </c>
      <c r="N22" s="216">
        <v>10600613609.540001</v>
      </c>
      <c r="O22" s="216">
        <v>5383362980.6300011</v>
      </c>
      <c r="P22" s="216">
        <v>19274593578.559998</v>
      </c>
      <c r="Q22" s="216">
        <v>2483406221.5699997</v>
      </c>
      <c r="R22" s="244">
        <f t="shared" si="1"/>
        <v>0.35482979390892644</v>
      </c>
      <c r="S22" s="248">
        <f t="shared" si="0"/>
        <v>0.17463479319360684</v>
      </c>
    </row>
    <row r="23" spans="1:19" x14ac:dyDescent="0.25">
      <c r="A23" s="218" t="s">
        <v>531</v>
      </c>
      <c r="B23" s="219">
        <v>4575000000</v>
      </c>
      <c r="C23" s="219">
        <v>0</v>
      </c>
      <c r="D23" s="219">
        <v>0</v>
      </c>
      <c r="E23" s="219">
        <v>0</v>
      </c>
      <c r="F23" s="254">
        <v>4575000000</v>
      </c>
      <c r="G23" s="219">
        <v>361733028.75</v>
      </c>
      <c r="H23" s="219">
        <v>1016699063.75</v>
      </c>
      <c r="I23" s="219">
        <v>3558300936.25</v>
      </c>
      <c r="J23" s="219">
        <v>298970471</v>
      </c>
      <c r="K23" s="219">
        <v>856432137</v>
      </c>
      <c r="L23" s="219">
        <v>160266926.75</v>
      </c>
      <c r="M23" s="219">
        <v>119258231.75</v>
      </c>
      <c r="N23" s="219">
        <v>1147417425.75</v>
      </c>
      <c r="O23" s="219">
        <v>130718362</v>
      </c>
      <c r="P23" s="219">
        <v>3427582574.25</v>
      </c>
      <c r="Q23" s="219">
        <v>856432137</v>
      </c>
      <c r="R23" s="245">
        <f t="shared" si="1"/>
        <v>0.25080162311475412</v>
      </c>
      <c r="S23" s="249">
        <f t="shared" si="0"/>
        <v>0.22222930355191256</v>
      </c>
    </row>
    <row r="24" spans="1:19" hidden="1" x14ac:dyDescent="0.25">
      <c r="A24" s="221" t="s">
        <v>1204</v>
      </c>
      <c r="B24" s="222">
        <v>2145000000</v>
      </c>
      <c r="C24" s="222">
        <v>0</v>
      </c>
      <c r="D24" s="222">
        <v>0</v>
      </c>
      <c r="E24" s="222">
        <v>0</v>
      </c>
      <c r="F24" s="255">
        <v>2145000000</v>
      </c>
      <c r="G24" s="222">
        <v>0</v>
      </c>
      <c r="H24" s="222">
        <v>0</v>
      </c>
      <c r="I24" s="222">
        <v>2145000000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2145000000</v>
      </c>
      <c r="Q24" s="222">
        <v>0</v>
      </c>
      <c r="R24" s="246">
        <f t="shared" si="1"/>
        <v>0</v>
      </c>
      <c r="S24" s="250">
        <f t="shared" si="0"/>
        <v>0</v>
      </c>
    </row>
    <row r="25" spans="1:19" hidden="1" x14ac:dyDescent="0.25">
      <c r="A25" s="221" t="s">
        <v>942</v>
      </c>
      <c r="B25" s="222">
        <v>1300000000</v>
      </c>
      <c r="C25" s="222">
        <v>0</v>
      </c>
      <c r="D25" s="222">
        <v>0</v>
      </c>
      <c r="E25" s="222">
        <v>0</v>
      </c>
      <c r="F25" s="255">
        <v>1300000000</v>
      </c>
      <c r="G25" s="222">
        <v>95397882.75</v>
      </c>
      <c r="H25" s="222">
        <v>213010882.75</v>
      </c>
      <c r="I25" s="222">
        <v>1086989117.25</v>
      </c>
      <c r="J25" s="222">
        <v>21780956</v>
      </c>
      <c r="K25" s="222">
        <v>73443956</v>
      </c>
      <c r="L25" s="222">
        <v>139566926.75</v>
      </c>
      <c r="M25" s="222">
        <v>88597882.75</v>
      </c>
      <c r="N25" s="222">
        <v>320510882.75</v>
      </c>
      <c r="O25" s="222">
        <v>107500000</v>
      </c>
      <c r="P25" s="222">
        <v>979489117.25</v>
      </c>
      <c r="Q25" s="222">
        <v>73443956</v>
      </c>
      <c r="R25" s="246">
        <f t="shared" si="1"/>
        <v>0.24654683288461537</v>
      </c>
      <c r="S25" s="250">
        <f t="shared" si="0"/>
        <v>0.1638545251923077</v>
      </c>
    </row>
    <row r="26" spans="1:19" hidden="1" x14ac:dyDescent="0.25">
      <c r="A26" s="221" t="s">
        <v>820</v>
      </c>
      <c r="B26" s="222">
        <v>1130000000</v>
      </c>
      <c r="C26" s="222">
        <v>0</v>
      </c>
      <c r="D26" s="222">
        <v>0</v>
      </c>
      <c r="E26" s="222">
        <v>0</v>
      </c>
      <c r="F26" s="255">
        <v>1130000000</v>
      </c>
      <c r="G26" s="222">
        <v>266335146</v>
      </c>
      <c r="H26" s="222">
        <v>803688181</v>
      </c>
      <c r="I26" s="222">
        <v>326311819</v>
      </c>
      <c r="J26" s="222">
        <v>277189515</v>
      </c>
      <c r="K26" s="222">
        <v>782988181</v>
      </c>
      <c r="L26" s="222">
        <v>20700000</v>
      </c>
      <c r="M26" s="222">
        <v>30660349</v>
      </c>
      <c r="N26" s="222">
        <v>826906543</v>
      </c>
      <c r="O26" s="222">
        <v>23218362</v>
      </c>
      <c r="P26" s="222">
        <v>303093457</v>
      </c>
      <c r="Q26" s="222">
        <v>782988181</v>
      </c>
      <c r="R26" s="246">
        <f t="shared" si="1"/>
        <v>0.73177570176991147</v>
      </c>
      <c r="S26" s="250">
        <f t="shared" si="0"/>
        <v>0.71122847876106199</v>
      </c>
    </row>
    <row r="27" spans="1:19" x14ac:dyDescent="0.25">
      <c r="A27" s="218" t="s">
        <v>572</v>
      </c>
      <c r="B27" s="219">
        <v>4800815368</v>
      </c>
      <c r="C27" s="219">
        <v>0</v>
      </c>
      <c r="D27" s="219">
        <v>0</v>
      </c>
      <c r="E27" s="219">
        <v>0</v>
      </c>
      <c r="F27" s="254">
        <v>4800815368</v>
      </c>
      <c r="G27" s="219">
        <v>327590520</v>
      </c>
      <c r="H27" s="219">
        <v>1189931950</v>
      </c>
      <c r="I27" s="219">
        <v>3610883418</v>
      </c>
      <c r="J27" s="219">
        <v>379503351</v>
      </c>
      <c r="K27" s="219">
        <v>744602480</v>
      </c>
      <c r="L27" s="219">
        <v>445329470</v>
      </c>
      <c r="M27" s="219">
        <v>642451868</v>
      </c>
      <c r="N27" s="219">
        <v>2094541748</v>
      </c>
      <c r="O27" s="219">
        <v>904609798</v>
      </c>
      <c r="P27" s="219">
        <v>2706273620</v>
      </c>
      <c r="Q27" s="219">
        <v>744602480</v>
      </c>
      <c r="R27" s="245">
        <f t="shared" si="1"/>
        <v>0.43628875252342342</v>
      </c>
      <c r="S27" s="249">
        <f t="shared" si="0"/>
        <v>0.24786038595267221</v>
      </c>
    </row>
    <row r="28" spans="1:19" hidden="1" x14ac:dyDescent="0.25">
      <c r="A28" s="221" t="s">
        <v>1204</v>
      </c>
      <c r="B28" s="222">
        <v>1524223579</v>
      </c>
      <c r="C28" s="222">
        <v>0</v>
      </c>
      <c r="D28" s="222">
        <v>0</v>
      </c>
      <c r="E28" s="222">
        <v>0</v>
      </c>
      <c r="F28" s="255">
        <v>1524223579</v>
      </c>
      <c r="G28" s="222">
        <v>0</v>
      </c>
      <c r="H28" s="222">
        <v>0</v>
      </c>
      <c r="I28" s="222">
        <v>1524223579</v>
      </c>
      <c r="J28" s="222">
        <v>34640000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1524223579</v>
      </c>
      <c r="Q28" s="222">
        <v>0</v>
      </c>
      <c r="R28" s="246">
        <f t="shared" si="1"/>
        <v>0</v>
      </c>
      <c r="S28" s="250">
        <f t="shared" si="0"/>
        <v>0</v>
      </c>
    </row>
    <row r="29" spans="1:19" hidden="1" x14ac:dyDescent="0.25">
      <c r="A29" s="221" t="s">
        <v>942</v>
      </c>
      <c r="B29" s="222">
        <v>876591789</v>
      </c>
      <c r="C29" s="222">
        <v>0</v>
      </c>
      <c r="D29" s="222">
        <v>0</v>
      </c>
      <c r="E29" s="222">
        <v>0</v>
      </c>
      <c r="F29" s="255">
        <v>876591789</v>
      </c>
      <c r="G29" s="222">
        <v>46720196</v>
      </c>
      <c r="H29" s="222">
        <v>224537501</v>
      </c>
      <c r="I29" s="222">
        <v>652054288</v>
      </c>
      <c r="J29" s="222">
        <v>36747316</v>
      </c>
      <c r="K29" s="222">
        <v>212939341</v>
      </c>
      <c r="L29" s="222">
        <v>11598160</v>
      </c>
      <c r="M29" s="222">
        <v>195765816</v>
      </c>
      <c r="N29" s="222">
        <v>501341121</v>
      </c>
      <c r="O29" s="222">
        <v>276803620</v>
      </c>
      <c r="P29" s="222">
        <v>375250668</v>
      </c>
      <c r="Q29" s="222">
        <v>212939341</v>
      </c>
      <c r="R29" s="246">
        <f t="shared" si="1"/>
        <v>0.57192084992254022</v>
      </c>
      <c r="S29" s="250">
        <f t="shared" si="0"/>
        <v>0.2561483050806902</v>
      </c>
    </row>
    <row r="30" spans="1:19" hidden="1" x14ac:dyDescent="0.25">
      <c r="A30" s="221" t="s">
        <v>820</v>
      </c>
      <c r="B30" s="222">
        <v>2400000000</v>
      </c>
      <c r="C30" s="222">
        <v>0</v>
      </c>
      <c r="D30" s="222">
        <v>0</v>
      </c>
      <c r="E30" s="222">
        <v>0</v>
      </c>
      <c r="F30" s="255">
        <v>2400000000</v>
      </c>
      <c r="G30" s="222">
        <v>280870324</v>
      </c>
      <c r="H30" s="222">
        <v>965394449</v>
      </c>
      <c r="I30" s="222">
        <v>1434605551</v>
      </c>
      <c r="J30" s="222">
        <v>308116035</v>
      </c>
      <c r="K30" s="222">
        <v>531663139</v>
      </c>
      <c r="L30" s="222">
        <v>433731310</v>
      </c>
      <c r="M30" s="222">
        <v>446686052</v>
      </c>
      <c r="N30" s="222">
        <v>1593200627</v>
      </c>
      <c r="O30" s="222">
        <v>627806178</v>
      </c>
      <c r="P30" s="222">
        <v>806799373</v>
      </c>
      <c r="Q30" s="222">
        <v>531663139</v>
      </c>
      <c r="R30" s="246">
        <f t="shared" si="1"/>
        <v>0.66383359458333335</v>
      </c>
      <c r="S30" s="250">
        <f t="shared" si="0"/>
        <v>0.40224768708333336</v>
      </c>
    </row>
    <row r="31" spans="1:19" x14ac:dyDescent="0.25">
      <c r="A31" s="218" t="s">
        <v>659</v>
      </c>
      <c r="B31" s="219">
        <v>95000000</v>
      </c>
      <c r="C31" s="219">
        <v>0</v>
      </c>
      <c r="D31" s="219">
        <v>0</v>
      </c>
      <c r="E31" s="219">
        <v>0</v>
      </c>
      <c r="F31" s="254">
        <v>95000000</v>
      </c>
      <c r="G31" s="219">
        <v>0</v>
      </c>
      <c r="H31" s="219">
        <v>0</v>
      </c>
      <c r="I31" s="219">
        <v>95000000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95000000</v>
      </c>
      <c r="Q31" s="219">
        <v>0</v>
      </c>
      <c r="R31" s="245">
        <f t="shared" si="1"/>
        <v>0</v>
      </c>
      <c r="S31" s="249">
        <f t="shared" si="0"/>
        <v>0</v>
      </c>
    </row>
    <row r="32" spans="1:19" hidden="1" x14ac:dyDescent="0.25">
      <c r="A32" s="221" t="s">
        <v>1204</v>
      </c>
      <c r="B32" s="222">
        <v>45000000</v>
      </c>
      <c r="C32" s="222">
        <v>0</v>
      </c>
      <c r="D32" s="222">
        <v>0</v>
      </c>
      <c r="E32" s="222">
        <v>0</v>
      </c>
      <c r="F32" s="255">
        <v>45000000</v>
      </c>
      <c r="G32" s="222">
        <v>0</v>
      </c>
      <c r="H32" s="222">
        <v>0</v>
      </c>
      <c r="I32" s="222">
        <v>45000000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45000000</v>
      </c>
      <c r="Q32" s="222">
        <v>0</v>
      </c>
      <c r="R32" s="246">
        <f t="shared" si="1"/>
        <v>0</v>
      </c>
      <c r="S32" s="250">
        <f t="shared" si="0"/>
        <v>0</v>
      </c>
    </row>
    <row r="33" spans="1:19" hidden="1" x14ac:dyDescent="0.25">
      <c r="A33" s="221" t="s">
        <v>942</v>
      </c>
      <c r="B33" s="222">
        <v>5000000</v>
      </c>
      <c r="C33" s="222">
        <v>0</v>
      </c>
      <c r="D33" s="222">
        <v>0</v>
      </c>
      <c r="E33" s="222">
        <v>0</v>
      </c>
      <c r="F33" s="255">
        <v>5000000</v>
      </c>
      <c r="G33" s="222">
        <v>0</v>
      </c>
      <c r="H33" s="222">
        <v>0</v>
      </c>
      <c r="I33" s="222">
        <v>5000000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5000000</v>
      </c>
      <c r="Q33" s="222">
        <v>0</v>
      </c>
      <c r="R33" s="246">
        <f t="shared" si="1"/>
        <v>0</v>
      </c>
      <c r="S33" s="250">
        <f t="shared" si="0"/>
        <v>0</v>
      </c>
    </row>
    <row r="34" spans="1:19" hidden="1" x14ac:dyDescent="0.25">
      <c r="A34" s="221" t="s">
        <v>820</v>
      </c>
      <c r="B34" s="222">
        <v>45000000</v>
      </c>
      <c r="C34" s="222">
        <v>0</v>
      </c>
      <c r="D34" s="222">
        <v>0</v>
      </c>
      <c r="E34" s="222">
        <v>0</v>
      </c>
      <c r="F34" s="255">
        <v>45000000</v>
      </c>
      <c r="G34" s="222">
        <v>0</v>
      </c>
      <c r="H34" s="222">
        <v>0</v>
      </c>
      <c r="I34" s="222">
        <v>45000000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45000000</v>
      </c>
      <c r="Q34" s="222">
        <v>0</v>
      </c>
      <c r="R34" s="246">
        <f t="shared" si="1"/>
        <v>0</v>
      </c>
      <c r="S34" s="250">
        <f t="shared" si="0"/>
        <v>0</v>
      </c>
    </row>
    <row r="35" spans="1:19" x14ac:dyDescent="0.25">
      <c r="A35" s="218" t="s">
        <v>671</v>
      </c>
      <c r="B35" s="219">
        <v>4961907532</v>
      </c>
      <c r="C35" s="219">
        <v>0</v>
      </c>
      <c r="D35" s="219">
        <v>0</v>
      </c>
      <c r="E35" s="219">
        <v>1747000000</v>
      </c>
      <c r="F35" s="254">
        <v>6708907532</v>
      </c>
      <c r="G35" s="219">
        <v>1246892026.3599999</v>
      </c>
      <c r="H35" s="219">
        <v>1934305114.71</v>
      </c>
      <c r="I35" s="219">
        <v>4774602417.29</v>
      </c>
      <c r="J35" s="219">
        <v>342501279.37</v>
      </c>
      <c r="K35" s="219">
        <v>457318927.56999999</v>
      </c>
      <c r="L35" s="219">
        <v>1476986187.1400001</v>
      </c>
      <c r="M35" s="219">
        <v>1239626000.9999998</v>
      </c>
      <c r="N35" s="219">
        <v>3261602542.9900002</v>
      </c>
      <c r="O35" s="219">
        <v>1327297428.2800002</v>
      </c>
      <c r="P35" s="219">
        <v>3447304989.0099998</v>
      </c>
      <c r="Q35" s="219">
        <v>457318927.56999999</v>
      </c>
      <c r="R35" s="245">
        <f t="shared" si="1"/>
        <v>0.48616000853087926</v>
      </c>
      <c r="S35" s="249">
        <f t="shared" si="0"/>
        <v>0.28831894097269845</v>
      </c>
    </row>
    <row r="36" spans="1:19" hidden="1" x14ac:dyDescent="0.25">
      <c r="A36" s="221" t="s">
        <v>1204</v>
      </c>
      <c r="B36" s="222">
        <v>1954177995</v>
      </c>
      <c r="C36" s="222">
        <v>0</v>
      </c>
      <c r="D36" s="222">
        <v>0</v>
      </c>
      <c r="E36" s="222">
        <v>0</v>
      </c>
      <c r="F36" s="255">
        <v>1954177995</v>
      </c>
      <c r="G36" s="222">
        <v>0</v>
      </c>
      <c r="H36" s="222">
        <v>0</v>
      </c>
      <c r="I36" s="222">
        <v>1954177995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1954177995</v>
      </c>
      <c r="Q36" s="222">
        <v>0</v>
      </c>
      <c r="R36" s="246">
        <f t="shared" si="1"/>
        <v>0</v>
      </c>
      <c r="S36" s="250">
        <f t="shared" si="0"/>
        <v>0</v>
      </c>
    </row>
    <row r="37" spans="1:19" hidden="1" x14ac:dyDescent="0.25">
      <c r="A37" s="221" t="s">
        <v>942</v>
      </c>
      <c r="B37" s="222">
        <v>477729537</v>
      </c>
      <c r="C37" s="222">
        <v>0</v>
      </c>
      <c r="D37" s="222">
        <v>0</v>
      </c>
      <c r="E37" s="222">
        <v>0</v>
      </c>
      <c r="F37" s="255">
        <v>477729537</v>
      </c>
      <c r="G37" s="222">
        <v>68438943.810000002</v>
      </c>
      <c r="H37" s="222">
        <v>142429537</v>
      </c>
      <c r="I37" s="222">
        <v>335300000</v>
      </c>
      <c r="J37" s="222">
        <v>73990593</v>
      </c>
      <c r="K37" s="222">
        <v>73990593</v>
      </c>
      <c r="L37" s="222">
        <v>68438944</v>
      </c>
      <c r="M37" s="222">
        <v>41538643.810000002</v>
      </c>
      <c r="N37" s="222">
        <v>159702825</v>
      </c>
      <c r="O37" s="222">
        <v>17273288</v>
      </c>
      <c r="P37" s="222">
        <v>318026712</v>
      </c>
      <c r="Q37" s="222">
        <v>73990593</v>
      </c>
      <c r="R37" s="246">
        <f t="shared" si="1"/>
        <v>0.33429548024785416</v>
      </c>
      <c r="S37" s="250">
        <f t="shared" si="0"/>
        <v>0.29813843601636042</v>
      </c>
    </row>
    <row r="38" spans="1:19" hidden="1" x14ac:dyDescent="0.25">
      <c r="A38" s="221" t="s">
        <v>820</v>
      </c>
      <c r="B38" s="222">
        <v>2015000000</v>
      </c>
      <c r="C38" s="222">
        <v>0</v>
      </c>
      <c r="D38" s="222">
        <v>0</v>
      </c>
      <c r="E38" s="222">
        <v>1747000000</v>
      </c>
      <c r="F38" s="255">
        <v>3762000000</v>
      </c>
      <c r="G38" s="222">
        <v>1151179207.54</v>
      </c>
      <c r="H38" s="222">
        <v>1764601702.7</v>
      </c>
      <c r="I38" s="222">
        <v>1997398297.3</v>
      </c>
      <c r="J38" s="222">
        <v>268510686.37</v>
      </c>
      <c r="K38" s="222">
        <v>383328334.56999999</v>
      </c>
      <c r="L38" s="222">
        <v>1381273368.1300001</v>
      </c>
      <c r="M38" s="222">
        <v>1170813482.1799998</v>
      </c>
      <c r="N38" s="222">
        <v>3074625842.98</v>
      </c>
      <c r="O38" s="222">
        <v>1310024140.28</v>
      </c>
      <c r="P38" s="222">
        <v>687374157.01999998</v>
      </c>
      <c r="Q38" s="222">
        <v>383328334.56999999</v>
      </c>
      <c r="R38" s="246">
        <f t="shared" si="1"/>
        <v>0.81728491307283357</v>
      </c>
      <c r="S38" s="250">
        <f t="shared" si="0"/>
        <v>0.46905946376927166</v>
      </c>
    </row>
    <row r="39" spans="1:19" hidden="1" x14ac:dyDescent="0.25">
      <c r="A39" s="221" t="s">
        <v>1205</v>
      </c>
      <c r="B39" s="222">
        <v>515000000</v>
      </c>
      <c r="C39" s="222">
        <v>0</v>
      </c>
      <c r="D39" s="222">
        <v>0</v>
      </c>
      <c r="E39" s="222">
        <v>0</v>
      </c>
      <c r="F39" s="255">
        <v>515000000</v>
      </c>
      <c r="G39" s="222">
        <v>27273875.010000002</v>
      </c>
      <c r="H39" s="222">
        <v>27273875.010000002</v>
      </c>
      <c r="I39" s="222">
        <v>487726124.99000001</v>
      </c>
      <c r="J39" s="222">
        <v>0</v>
      </c>
      <c r="K39" s="222">
        <v>0</v>
      </c>
      <c r="L39" s="222">
        <v>27273875.010000002</v>
      </c>
      <c r="M39" s="222">
        <v>27273875.010000002</v>
      </c>
      <c r="N39" s="222">
        <v>27273875.010000002</v>
      </c>
      <c r="O39" s="222">
        <v>0</v>
      </c>
      <c r="P39" s="222">
        <v>487726124.99000001</v>
      </c>
      <c r="Q39" s="222">
        <v>0</v>
      </c>
      <c r="R39" s="246">
        <f t="shared" si="1"/>
        <v>5.2958980601941749E-2</v>
      </c>
      <c r="S39" s="250">
        <f t="shared" si="0"/>
        <v>5.2958980601941749E-2</v>
      </c>
    </row>
    <row r="40" spans="1:19" x14ac:dyDescent="0.25">
      <c r="A40" s="218" t="s">
        <v>833</v>
      </c>
      <c r="B40" s="219">
        <v>0</v>
      </c>
      <c r="C40" s="219">
        <v>0</v>
      </c>
      <c r="D40" s="219">
        <v>0</v>
      </c>
      <c r="E40" s="219">
        <v>1977687668</v>
      </c>
      <c r="F40" s="254">
        <v>1977687668</v>
      </c>
      <c r="G40" s="219">
        <v>2744447</v>
      </c>
      <c r="H40" s="219">
        <v>78972790</v>
      </c>
      <c r="I40" s="219">
        <v>1898714878</v>
      </c>
      <c r="J40" s="219">
        <v>2744447</v>
      </c>
      <c r="K40" s="219">
        <v>77192237</v>
      </c>
      <c r="L40" s="219">
        <v>1780553</v>
      </c>
      <c r="M40" s="219">
        <v>313860400</v>
      </c>
      <c r="N40" s="219">
        <v>732502741</v>
      </c>
      <c r="O40" s="219">
        <v>653529951</v>
      </c>
      <c r="P40" s="219">
        <v>1245184927</v>
      </c>
      <c r="Q40" s="219">
        <v>77192237</v>
      </c>
      <c r="R40" s="245">
        <f t="shared" si="1"/>
        <v>0.37038342952341247</v>
      </c>
      <c r="S40" s="249">
        <f t="shared" si="0"/>
        <v>3.9931881700948142E-2</v>
      </c>
    </row>
    <row r="41" spans="1:19" hidden="1" x14ac:dyDescent="0.25">
      <c r="A41" s="224" t="s">
        <v>1207</v>
      </c>
      <c r="B41" s="225"/>
      <c r="C41" s="225"/>
      <c r="D41" s="225"/>
      <c r="E41" s="225"/>
      <c r="F41" s="256">
        <v>0</v>
      </c>
      <c r="G41" s="225"/>
      <c r="H41" s="225"/>
      <c r="I41" s="225">
        <v>0</v>
      </c>
      <c r="J41" s="225"/>
      <c r="K41" s="225"/>
      <c r="L41" s="225">
        <v>0</v>
      </c>
      <c r="M41" s="225"/>
      <c r="N41" s="225"/>
      <c r="O41" s="225">
        <v>0</v>
      </c>
      <c r="P41" s="225">
        <v>0</v>
      </c>
      <c r="Q41" s="225">
        <v>0</v>
      </c>
      <c r="R41" s="247" t="e">
        <f t="shared" si="1"/>
        <v>#DIV/0!</v>
      </c>
      <c r="S41" s="251" t="e">
        <f t="shared" si="0"/>
        <v>#DIV/0!</v>
      </c>
    </row>
    <row r="42" spans="1:19" hidden="1" x14ac:dyDescent="0.25">
      <c r="A42" s="224" t="s">
        <v>1205</v>
      </c>
      <c r="B42" s="225"/>
      <c r="C42" s="225"/>
      <c r="D42" s="225"/>
      <c r="E42" s="225"/>
      <c r="F42" s="256">
        <v>0</v>
      </c>
      <c r="G42" s="225"/>
      <c r="H42" s="225"/>
      <c r="I42" s="225">
        <v>0</v>
      </c>
      <c r="J42" s="225"/>
      <c r="K42" s="225"/>
      <c r="L42" s="225">
        <v>0</v>
      </c>
      <c r="M42" s="225"/>
      <c r="N42" s="225"/>
      <c r="O42" s="225">
        <v>0</v>
      </c>
      <c r="P42" s="225">
        <v>0</v>
      </c>
      <c r="Q42" s="225">
        <v>0</v>
      </c>
      <c r="R42" s="247" t="e">
        <f t="shared" si="1"/>
        <v>#DIV/0!</v>
      </c>
      <c r="S42" s="251" t="e">
        <f t="shared" si="0"/>
        <v>#DIV/0!</v>
      </c>
    </row>
    <row r="43" spans="1:19" hidden="1" x14ac:dyDescent="0.25">
      <c r="A43" s="224" t="s">
        <v>942</v>
      </c>
      <c r="B43" s="225"/>
      <c r="C43" s="225"/>
      <c r="D43" s="225"/>
      <c r="E43" s="225"/>
      <c r="F43" s="256">
        <v>0</v>
      </c>
      <c r="G43" s="225"/>
      <c r="H43" s="225"/>
      <c r="I43" s="225">
        <v>0</v>
      </c>
      <c r="J43" s="225"/>
      <c r="K43" s="225"/>
      <c r="L43" s="225">
        <v>0</v>
      </c>
      <c r="M43" s="225"/>
      <c r="N43" s="225"/>
      <c r="O43" s="225">
        <v>0</v>
      </c>
      <c r="P43" s="225">
        <v>0</v>
      </c>
      <c r="Q43" s="225"/>
      <c r="R43" s="247" t="e">
        <f t="shared" si="1"/>
        <v>#DIV/0!</v>
      </c>
      <c r="S43" s="251" t="e">
        <f t="shared" si="0"/>
        <v>#DIV/0!</v>
      </c>
    </row>
    <row r="44" spans="1:19" hidden="1" x14ac:dyDescent="0.25">
      <c r="A44" s="224" t="s">
        <v>1208</v>
      </c>
      <c r="B44" s="225"/>
      <c r="C44" s="225"/>
      <c r="D44" s="225"/>
      <c r="E44" s="225"/>
      <c r="F44" s="256">
        <v>0</v>
      </c>
      <c r="G44" s="225"/>
      <c r="H44" s="225"/>
      <c r="I44" s="225">
        <v>0</v>
      </c>
      <c r="J44" s="225"/>
      <c r="K44" s="225"/>
      <c r="L44" s="225">
        <v>0</v>
      </c>
      <c r="M44" s="225"/>
      <c r="N44" s="225"/>
      <c r="O44" s="225">
        <v>0</v>
      </c>
      <c r="P44" s="225">
        <v>0</v>
      </c>
      <c r="Q44" s="225"/>
      <c r="R44" s="247" t="e">
        <f t="shared" si="1"/>
        <v>#DIV/0!</v>
      </c>
      <c r="S44" s="251" t="e">
        <f t="shared" si="0"/>
        <v>#DIV/0!</v>
      </c>
    </row>
    <row r="45" spans="1:19" hidden="1" x14ac:dyDescent="0.25">
      <c r="A45" s="224" t="s">
        <v>1209</v>
      </c>
      <c r="B45" s="225"/>
      <c r="C45" s="225"/>
      <c r="D45" s="225"/>
      <c r="E45" s="225"/>
      <c r="F45" s="256">
        <v>0</v>
      </c>
      <c r="G45" s="225"/>
      <c r="H45" s="225"/>
      <c r="I45" s="225">
        <v>0</v>
      </c>
      <c r="J45" s="225"/>
      <c r="K45" s="225"/>
      <c r="L45" s="225">
        <v>0</v>
      </c>
      <c r="M45" s="225"/>
      <c r="N45" s="225"/>
      <c r="O45" s="225">
        <v>0</v>
      </c>
      <c r="P45" s="225">
        <v>0</v>
      </c>
      <c r="Q45" s="225"/>
      <c r="R45" s="247" t="e">
        <f t="shared" si="1"/>
        <v>#DIV/0!</v>
      </c>
      <c r="S45" s="251" t="e">
        <f t="shared" si="0"/>
        <v>#DIV/0!</v>
      </c>
    </row>
    <row r="46" spans="1:19" hidden="1" x14ac:dyDescent="0.25">
      <c r="A46" s="224" t="s">
        <v>1210</v>
      </c>
      <c r="B46" s="225"/>
      <c r="C46" s="225"/>
      <c r="D46" s="225"/>
      <c r="E46" s="225"/>
      <c r="F46" s="256">
        <v>0</v>
      </c>
      <c r="G46" s="225"/>
      <c r="H46" s="225"/>
      <c r="I46" s="225">
        <v>0</v>
      </c>
      <c r="J46" s="225"/>
      <c r="K46" s="225"/>
      <c r="L46" s="225">
        <v>0</v>
      </c>
      <c r="M46" s="225"/>
      <c r="N46" s="225"/>
      <c r="O46" s="225">
        <v>0</v>
      </c>
      <c r="P46" s="225">
        <v>0</v>
      </c>
      <c r="Q46" s="225">
        <v>0</v>
      </c>
      <c r="R46" s="247" t="e">
        <f t="shared" si="1"/>
        <v>#DIV/0!</v>
      </c>
      <c r="S46" s="251" t="e">
        <f t="shared" si="0"/>
        <v>#DIV/0!</v>
      </c>
    </row>
    <row r="47" spans="1:19" hidden="1" x14ac:dyDescent="0.25">
      <c r="A47" s="221" t="s">
        <v>820</v>
      </c>
      <c r="B47" s="222"/>
      <c r="C47" s="222"/>
      <c r="D47" s="222"/>
      <c r="E47" s="222">
        <v>1977687668</v>
      </c>
      <c r="F47" s="255">
        <v>1977687668</v>
      </c>
      <c r="G47" s="222">
        <v>2744447</v>
      </c>
      <c r="H47" s="222">
        <v>78972790</v>
      </c>
      <c r="I47" s="222">
        <v>1898714878</v>
      </c>
      <c r="J47" s="222">
        <v>2744447</v>
      </c>
      <c r="K47" s="222">
        <v>77192237</v>
      </c>
      <c r="L47" s="222">
        <v>1780553</v>
      </c>
      <c r="M47" s="222">
        <v>313860400</v>
      </c>
      <c r="N47" s="222">
        <v>732502741</v>
      </c>
      <c r="O47" s="222">
        <v>653529951</v>
      </c>
      <c r="P47" s="222">
        <v>1245184927</v>
      </c>
      <c r="Q47" s="222">
        <v>77192237</v>
      </c>
      <c r="R47" s="246">
        <f t="shared" si="1"/>
        <v>0.37038342952341247</v>
      </c>
      <c r="S47" s="250">
        <f t="shared" si="0"/>
        <v>3.9931881700948142E-2</v>
      </c>
    </row>
    <row r="48" spans="1:19" x14ac:dyDescent="0.25">
      <c r="A48" s="218" t="s">
        <v>1211</v>
      </c>
      <c r="B48" s="219">
        <v>199000000</v>
      </c>
      <c r="C48" s="219">
        <v>0</v>
      </c>
      <c r="D48" s="219">
        <v>0</v>
      </c>
      <c r="E48" s="219">
        <v>11518796620.099998</v>
      </c>
      <c r="F48" s="254">
        <v>11717796620.099998</v>
      </c>
      <c r="G48" s="219">
        <v>299851621</v>
      </c>
      <c r="H48" s="219">
        <v>997341710.45000005</v>
      </c>
      <c r="I48" s="219">
        <v>10720454909.649998</v>
      </c>
      <c r="J48" s="219">
        <v>321620439.99999994</v>
      </c>
      <c r="K48" s="219">
        <v>347860439.99999994</v>
      </c>
      <c r="L48" s="219">
        <v>649481270.45000005</v>
      </c>
      <c r="M48" s="219">
        <v>2627789351.8000002</v>
      </c>
      <c r="N48" s="219">
        <v>3364549151.8000002</v>
      </c>
      <c r="O48" s="219">
        <v>2367207441.3500004</v>
      </c>
      <c r="P48" s="219">
        <v>8353247468.2999983</v>
      </c>
      <c r="Q48" s="219">
        <v>347860439.99999994</v>
      </c>
      <c r="R48" s="245">
        <f t="shared" si="1"/>
        <v>0.28713155389884959</v>
      </c>
      <c r="S48" s="249">
        <f t="shared" si="0"/>
        <v>8.5113417034327121E-2</v>
      </c>
    </row>
    <row r="55" spans="1:18" ht="15.75" customHeight="1" x14ac:dyDescent="0.25">
      <c r="A55" s="283" t="s">
        <v>1224</v>
      </c>
      <c r="B55" s="282" t="s">
        <v>1230</v>
      </c>
      <c r="C55" s="282" t="s">
        <v>1232</v>
      </c>
      <c r="D55" s="282" t="s">
        <v>1231</v>
      </c>
      <c r="E55" s="281" t="s">
        <v>718</v>
      </c>
    </row>
    <row r="56" spans="1:18" s="181" customFormat="1" ht="15.75" customHeight="1" x14ac:dyDescent="0.25">
      <c r="A56" s="283"/>
      <c r="B56" s="282"/>
      <c r="C56" s="282"/>
      <c r="D56" s="282"/>
      <c r="E56" s="281"/>
      <c r="F56" s="10"/>
      <c r="R56" s="10"/>
    </row>
    <row r="57" spans="1:18" x14ac:dyDescent="0.25">
      <c r="A57" s="238" t="s">
        <v>1220</v>
      </c>
      <c r="B57" s="239">
        <f>+B58+B59+B60</f>
        <v>48976988241.175995</v>
      </c>
      <c r="C57" s="239">
        <f>+C58+C59+C60</f>
        <v>13923563504.51</v>
      </c>
      <c r="D57" s="239">
        <f>+D58+D59+D60</f>
        <v>13923563504.51</v>
      </c>
      <c r="E57" s="239"/>
    </row>
    <row r="58" spans="1:18" s="181" customFormat="1" x14ac:dyDescent="0.25">
      <c r="A58" s="235" t="s">
        <v>1225</v>
      </c>
      <c r="B58" s="236">
        <f>+'Ingresos Mayo  2022'!F20</f>
        <v>44132120803.339996</v>
      </c>
      <c r="C58" s="236">
        <f>+'Ingresos Mayo  2022'!I20</f>
        <v>10284269219</v>
      </c>
      <c r="D58" s="236">
        <f t="shared" ref="D58:D63" si="2">+C58</f>
        <v>10284269219</v>
      </c>
      <c r="E58" s="236"/>
      <c r="F58" s="10"/>
      <c r="R58" s="10"/>
    </row>
    <row r="59" spans="1:18" x14ac:dyDescent="0.25">
      <c r="A59" s="235" t="s">
        <v>1226</v>
      </c>
      <c r="B59" s="236">
        <f>+'Ingresos Mayo  2022'!F37</f>
        <v>4627907835.8360004</v>
      </c>
      <c r="C59" s="236">
        <f>+'Ingresos Mayo  2022'!I37</f>
        <v>3494499827.8600001</v>
      </c>
      <c r="D59" s="236">
        <f t="shared" si="2"/>
        <v>3494499827.8600001</v>
      </c>
      <c r="E59" s="236"/>
    </row>
    <row r="60" spans="1:18" x14ac:dyDescent="0.25">
      <c r="A60" s="235" t="s">
        <v>1227</v>
      </c>
      <c r="B60" s="236">
        <f>+'Ingresos Mayo  2022'!F97</f>
        <v>216959602</v>
      </c>
      <c r="C60" s="236">
        <f>+'Ingresos Mayo  2022'!I97</f>
        <v>144794457.65000001</v>
      </c>
      <c r="D60" s="236">
        <f t="shared" si="2"/>
        <v>144794457.65000001</v>
      </c>
      <c r="E60" s="236"/>
    </row>
    <row r="61" spans="1:18" x14ac:dyDescent="0.25">
      <c r="A61" s="240" t="s">
        <v>1221</v>
      </c>
      <c r="B61" s="241">
        <f>+'Ingresos Mayo  2022'!F81+'Ingresos Mayo  2022'!F83+'Ingresos Mayo  2022'!F15</f>
        <v>96462583539.820007</v>
      </c>
      <c r="C61" s="241">
        <f>+'Ingresos Mayo  2022'!I81+'Ingresos Mayo  2022'!I83+'Ingresos Mayo  2022'!I15</f>
        <v>46326555172.279999</v>
      </c>
      <c r="D61" s="241">
        <f t="shared" si="2"/>
        <v>46326555172.279999</v>
      </c>
      <c r="E61" s="241"/>
    </row>
    <row r="62" spans="1:18" x14ac:dyDescent="0.25">
      <c r="A62" s="240" t="s">
        <v>1223</v>
      </c>
      <c r="B62" s="241">
        <f>+'Ingresos Mayo  2022'!F133</f>
        <v>32095283336.709999</v>
      </c>
      <c r="C62" s="241">
        <f>+'Ingresos Mayo  2022'!I133</f>
        <v>32095283336.709999</v>
      </c>
      <c r="D62" s="241">
        <f t="shared" si="2"/>
        <v>32095283336.709999</v>
      </c>
      <c r="E62" s="241"/>
    </row>
    <row r="63" spans="1:18" x14ac:dyDescent="0.25">
      <c r="A63" s="240" t="s">
        <v>1222</v>
      </c>
      <c r="B63" s="241">
        <f>+'Ingresos Mayo  2022'!F142</f>
        <v>1336823529</v>
      </c>
      <c r="C63" s="241">
        <f>+'Ingresos Mayo  2022'!I142</f>
        <v>1319766668</v>
      </c>
      <c r="D63" s="241">
        <f t="shared" si="2"/>
        <v>1319766668</v>
      </c>
      <c r="E63" s="241"/>
    </row>
    <row r="64" spans="1:18" x14ac:dyDescent="0.25">
      <c r="A64" s="235" t="s">
        <v>1233</v>
      </c>
      <c r="B64" s="237">
        <f>+B57+B61+B62+B63</f>
        <v>178871678646.70599</v>
      </c>
      <c r="C64" s="237">
        <f>+C57+C61+C62+C63</f>
        <v>93665168681.5</v>
      </c>
      <c r="D64" s="237">
        <f>+D57+D61+D62+D63</f>
        <v>93665168681.5</v>
      </c>
      <c r="E64" s="235"/>
    </row>
    <row r="65" spans="1:6" x14ac:dyDescent="0.25">
      <c r="B65" s="230"/>
      <c r="D65" s="230">
        <f>+N2</f>
        <v>57524088280.590004</v>
      </c>
    </row>
    <row r="66" spans="1:6" x14ac:dyDescent="0.25">
      <c r="D66" s="230">
        <f>+D65-D64</f>
        <v>-36141080400.909996</v>
      </c>
    </row>
    <row r="68" spans="1:6" x14ac:dyDescent="0.25">
      <c r="A68" s="280" t="s">
        <v>1234</v>
      </c>
      <c r="B68" s="280" t="s">
        <v>1230</v>
      </c>
      <c r="C68" s="280" t="s">
        <v>718</v>
      </c>
      <c r="D68" s="280" t="s">
        <v>1231</v>
      </c>
      <c r="E68" s="280" t="s">
        <v>1235</v>
      </c>
    </row>
    <row r="69" spans="1:6" x14ac:dyDescent="0.25">
      <c r="A69" s="280"/>
      <c r="B69" s="280"/>
      <c r="C69" s="280"/>
      <c r="D69" s="280"/>
      <c r="E69" s="280"/>
    </row>
    <row r="70" spans="1:6" x14ac:dyDescent="0.25">
      <c r="A70" s="218" t="s">
        <v>530</v>
      </c>
      <c r="B70" s="219">
        <v>29875207188.099998</v>
      </c>
      <c r="C70" s="219">
        <v>5217250628.9099998</v>
      </c>
      <c r="D70" s="219">
        <v>10600613609.540001</v>
      </c>
      <c r="E70" s="245">
        <f>+C70/B70</f>
        <v>0.17463479319360684</v>
      </c>
    </row>
    <row r="71" spans="1:6" x14ac:dyDescent="0.25">
      <c r="A71" s="218" t="s">
        <v>531</v>
      </c>
      <c r="B71" s="219">
        <v>4575000000</v>
      </c>
      <c r="C71" s="219">
        <v>1016699063.75</v>
      </c>
      <c r="D71" s="219">
        <v>1147417425.75</v>
      </c>
      <c r="E71" s="245">
        <f t="shared" ref="E71:E88" si="3">+C71/B71</f>
        <v>0.22222930355191256</v>
      </c>
      <c r="F71" s="242">
        <f>+B71/$B$70</f>
        <v>0.15313701328311893</v>
      </c>
    </row>
    <row r="72" spans="1:6" x14ac:dyDescent="0.25">
      <c r="A72" s="221" t="s">
        <v>1204</v>
      </c>
      <c r="B72" s="222">
        <v>2145000000</v>
      </c>
      <c r="C72" s="222">
        <v>0</v>
      </c>
      <c r="D72" s="222">
        <v>0</v>
      </c>
      <c r="E72" s="246">
        <f t="shared" si="3"/>
        <v>0</v>
      </c>
    </row>
    <row r="73" spans="1:6" x14ac:dyDescent="0.25">
      <c r="A73" s="221" t="s">
        <v>942</v>
      </c>
      <c r="B73" s="222">
        <v>1300000000</v>
      </c>
      <c r="C73" s="222">
        <v>213010882.75</v>
      </c>
      <c r="D73" s="222">
        <v>320510882.75</v>
      </c>
      <c r="E73" s="246">
        <f t="shared" si="3"/>
        <v>0.1638545251923077</v>
      </c>
    </row>
    <row r="74" spans="1:6" x14ac:dyDescent="0.25">
      <c r="A74" s="221" t="s">
        <v>820</v>
      </c>
      <c r="B74" s="222">
        <v>1130000000</v>
      </c>
      <c r="C74" s="222">
        <v>803688181</v>
      </c>
      <c r="D74" s="222">
        <v>826906543</v>
      </c>
      <c r="E74" s="246">
        <f t="shared" si="3"/>
        <v>0.71122847876106199</v>
      </c>
    </row>
    <row r="75" spans="1:6" x14ac:dyDescent="0.25">
      <c r="A75" s="218" t="s">
        <v>572</v>
      </c>
      <c r="B75" s="219">
        <v>4800815368</v>
      </c>
      <c r="C75" s="219">
        <v>1189931950</v>
      </c>
      <c r="D75" s="219">
        <v>2094541748</v>
      </c>
      <c r="E75" s="245">
        <f t="shared" si="3"/>
        <v>0.24786038595267221</v>
      </c>
      <c r="F75" s="242">
        <f>+B75/$B$70</f>
        <v>0.16069563426868144</v>
      </c>
    </row>
    <row r="76" spans="1:6" x14ac:dyDescent="0.25">
      <c r="A76" s="221" t="s">
        <v>1204</v>
      </c>
      <c r="B76" s="222">
        <v>1524223579</v>
      </c>
      <c r="C76" s="222">
        <v>0</v>
      </c>
      <c r="D76" s="222">
        <v>0</v>
      </c>
      <c r="E76" s="246">
        <f t="shared" si="3"/>
        <v>0</v>
      </c>
    </row>
    <row r="77" spans="1:6" x14ac:dyDescent="0.25">
      <c r="A77" s="221" t="s">
        <v>942</v>
      </c>
      <c r="B77" s="222">
        <v>876591789</v>
      </c>
      <c r="C77" s="222">
        <v>224537501</v>
      </c>
      <c r="D77" s="222">
        <v>501341121</v>
      </c>
      <c r="E77" s="246">
        <f t="shared" si="3"/>
        <v>0.2561483050806902</v>
      </c>
    </row>
    <row r="78" spans="1:6" x14ac:dyDescent="0.25">
      <c r="A78" s="221" t="s">
        <v>820</v>
      </c>
      <c r="B78" s="222">
        <v>2400000000</v>
      </c>
      <c r="C78" s="222">
        <v>965394449</v>
      </c>
      <c r="D78" s="222">
        <v>1593200627</v>
      </c>
      <c r="E78" s="246">
        <f t="shared" si="3"/>
        <v>0.40224768708333336</v>
      </c>
    </row>
    <row r="79" spans="1:6" x14ac:dyDescent="0.25">
      <c r="A79" s="218" t="s">
        <v>659</v>
      </c>
      <c r="B79" s="219">
        <v>95000000</v>
      </c>
      <c r="C79" s="219">
        <v>0</v>
      </c>
      <c r="D79" s="219">
        <v>0</v>
      </c>
      <c r="E79" s="245">
        <f t="shared" si="3"/>
        <v>0</v>
      </c>
      <c r="F79" s="242">
        <f>+B79/$B$70</f>
        <v>3.179894264895366E-3</v>
      </c>
    </row>
    <row r="80" spans="1:6" x14ac:dyDescent="0.25">
      <c r="A80" s="221" t="s">
        <v>1204</v>
      </c>
      <c r="B80" s="222">
        <v>45000000</v>
      </c>
      <c r="C80" s="222">
        <v>0</v>
      </c>
      <c r="D80" s="222">
        <v>0</v>
      </c>
      <c r="E80" s="246">
        <f t="shared" si="3"/>
        <v>0</v>
      </c>
    </row>
    <row r="81" spans="1:6" x14ac:dyDescent="0.25">
      <c r="A81" s="221" t="s">
        <v>942</v>
      </c>
      <c r="B81" s="222">
        <v>5000000</v>
      </c>
      <c r="C81" s="222">
        <v>0</v>
      </c>
      <c r="D81" s="222">
        <v>0</v>
      </c>
      <c r="E81" s="246">
        <f t="shared" si="3"/>
        <v>0</v>
      </c>
    </row>
    <row r="82" spans="1:6" x14ac:dyDescent="0.25">
      <c r="A82" s="221" t="s">
        <v>820</v>
      </c>
      <c r="B82" s="222">
        <v>45000000</v>
      </c>
      <c r="C82" s="222">
        <v>0</v>
      </c>
      <c r="D82" s="222">
        <v>0</v>
      </c>
      <c r="E82" s="246">
        <f t="shared" si="3"/>
        <v>0</v>
      </c>
    </row>
    <row r="83" spans="1:6" x14ac:dyDescent="0.25">
      <c r="A83" s="218" t="s">
        <v>671</v>
      </c>
      <c r="B83" s="219">
        <v>6708907532</v>
      </c>
      <c r="C83" s="219">
        <v>1934305114.71</v>
      </c>
      <c r="D83" s="219">
        <v>3261602542.9900002</v>
      </c>
      <c r="E83" s="245">
        <f t="shared" si="3"/>
        <v>0.28831894097269845</v>
      </c>
      <c r="F83" s="242">
        <f>+B83/$B$70</f>
        <v>0.2245643851023171</v>
      </c>
    </row>
    <row r="84" spans="1:6" x14ac:dyDescent="0.25">
      <c r="A84" s="221" t="s">
        <v>1204</v>
      </c>
      <c r="B84" s="222">
        <v>1954177995</v>
      </c>
      <c r="C84" s="222">
        <v>0</v>
      </c>
      <c r="D84" s="222">
        <v>0</v>
      </c>
      <c r="E84" s="246">
        <f t="shared" si="3"/>
        <v>0</v>
      </c>
    </row>
    <row r="85" spans="1:6" x14ac:dyDescent="0.25">
      <c r="A85" s="221" t="s">
        <v>942</v>
      </c>
      <c r="B85" s="222">
        <v>477729537</v>
      </c>
      <c r="C85" s="222">
        <v>142429537</v>
      </c>
      <c r="D85" s="222">
        <v>159702825</v>
      </c>
      <c r="E85" s="246">
        <f t="shared" si="3"/>
        <v>0.29813843601636042</v>
      </c>
    </row>
    <row r="86" spans="1:6" x14ac:dyDescent="0.25">
      <c r="A86" s="221" t="s">
        <v>820</v>
      </c>
      <c r="B86" s="222">
        <v>3762000000</v>
      </c>
      <c r="C86" s="222">
        <v>1764601702.7</v>
      </c>
      <c r="D86" s="222">
        <v>3074625842.98</v>
      </c>
      <c r="E86" s="246">
        <f t="shared" si="3"/>
        <v>0.46905946376927166</v>
      </c>
    </row>
    <row r="87" spans="1:6" x14ac:dyDescent="0.25">
      <c r="A87" s="221" t="s">
        <v>1236</v>
      </c>
      <c r="B87" s="222">
        <v>515000000</v>
      </c>
      <c r="C87" s="222">
        <v>27273875.010000002</v>
      </c>
      <c r="D87" s="222">
        <v>27273875.010000002</v>
      </c>
      <c r="E87" s="246">
        <f t="shared" si="3"/>
        <v>5.2958980601941749E-2</v>
      </c>
    </row>
    <row r="88" spans="1:6" x14ac:dyDescent="0.25">
      <c r="A88" s="218" t="s">
        <v>833</v>
      </c>
      <c r="B88" s="219">
        <v>1977687668</v>
      </c>
      <c r="C88" s="219">
        <v>78972790</v>
      </c>
      <c r="D88" s="219">
        <v>732502741</v>
      </c>
      <c r="E88" s="245">
        <f t="shared" si="3"/>
        <v>3.9931881700948142E-2</v>
      </c>
      <c r="F88" s="242">
        <f>+B88/$B$70</f>
        <v>6.6198291297131479E-2</v>
      </c>
    </row>
  </sheetData>
  <mergeCells count="10">
    <mergeCell ref="E55:E56"/>
    <mergeCell ref="D55:D56"/>
    <mergeCell ref="C55:C56"/>
    <mergeCell ref="B55:B56"/>
    <mergeCell ref="A55:A56"/>
    <mergeCell ref="B68:B69"/>
    <mergeCell ref="C68:C69"/>
    <mergeCell ref="D68:D69"/>
    <mergeCell ref="A68:A69"/>
    <mergeCell ref="E68:E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Mayo  2022</vt:lpstr>
      <vt:lpstr>Gastos Mayo 2022</vt:lpstr>
      <vt:lpstr>PAC DE INGRESOS</vt:lpstr>
      <vt:lpstr>PAC DE GASTOS</vt:lpstr>
      <vt:lpstr>Hoja3</vt:lpstr>
      <vt:lpstr>'Ingresos Mayo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2022-08-03T19:07:50Z</dcterms:modified>
</cp:coreProperties>
</file>